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tables/table4.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drawings/drawing2.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tables/table5.xml" ContentType="application/vnd.openxmlformats-officedocument.spreadsheetml.table+xml"/>
  <Override PartName="/xl/comments7.xml" ContentType="application/vnd.openxmlformats-officedocument.spreadsheetml.comments+xml"/>
  <Override PartName="/xl/threadedComments/threadedComment7.xml" ContentType="application/vnd.ms-excel.threadedcomments+xml"/>
  <Override PartName="/xl/tables/table6.xml" ContentType="application/vnd.openxmlformats-officedocument.spreadsheetml.table+xml"/>
  <Override PartName="/xl/tables/table7.xml" ContentType="application/vnd.openxmlformats-officedocument.spreadsheetml.table+xml"/>
  <Override PartName="/xl/comments8.xml" ContentType="application/vnd.openxmlformats-officedocument.spreadsheetml.comments+xml"/>
  <Override PartName="/xl/threadedComments/threadedComment8.xml" ContentType="application/vnd.ms-excel.threadedcomments+xml"/>
  <Override PartName="/xl/tables/table8.xml" ContentType="application/vnd.openxmlformats-officedocument.spreadsheetml.table+xml"/>
  <Override PartName="/xl/tables/table9.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tables/table10.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tables/table11.xml" ContentType="application/vnd.openxmlformats-officedocument.spreadsheetml.table+xml"/>
  <Override PartName="/xl/comments11.xml" ContentType="application/vnd.openxmlformats-officedocument.spreadsheetml.comments+xml"/>
  <Override PartName="/xl/threadedComments/threadedComment11.xml" ContentType="application/vnd.ms-excel.threadedcomments+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05"/>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0" documentId="8_{99596BE3-8FA1-45FD-B9B2-3CAC03386208}" xr6:coauthVersionLast="47" xr6:coauthVersionMax="47" xr10:uidLastSave="{00000000-0000-0000-0000-000000000000}"/>
  <bookViews>
    <workbookView xWindow="-120" yWindow="-120" windowWidth="29040" windowHeight="15720" tabRatio="848" firstSheet="9" activeTab="18"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RC-EDA (live Exos)" sheetId="67" r:id="rId9"/>
    <sheet name="RC-EDA" sheetId="33" r:id="rId10"/>
    <sheet name="EMSI" sheetId="53" r:id="rId11"/>
    <sheet name="BPV_MED" sheetId="68" r:id="rId12"/>
    <sheet name="BPV_SIS" sheetId="64" r:id="rId13"/>
    <sheet name="RS-RPIS" sheetId="66" r:id="rId14"/>
    <sheet name="MAINT" sheetId="65" r:id="rId15"/>
    <sheet name="GEO-POS" sheetId="56" r:id="rId16"/>
    <sheet name="GEO-REQ" sheetId="58" r:id="rId17"/>
    <sheet name="GEO-RES" sheetId="59" r:id="rId18"/>
    <sheet name="RS-ERROR" sheetId="60" r:id="rId19"/>
    <sheet name="RS-INFO" sheetId="61" r:id="rId20"/>
    <sheet name="RC-REF" sheetId="62" r:id="rId21"/>
    <sheet name="customContent" sheetId="63" r:id="rId22"/>
    <sheet name="Conditional format rules" sheetId="29" r:id="rId23"/>
    <sheet name="Documents_sources" sheetId="18" state="hidden" r:id="rId24"/>
  </sheets>
  <definedNames>
    <definedName name="_xlnm._FilterDatabase" localSheetId="10" hidden="1">EMSI!$A$8:$AH$117</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D93" i="68" l="1"/>
  <c r="AC93" i="68"/>
  <c r="AB93" i="68"/>
  <c r="Z93" i="68"/>
  <c r="Y93" i="68"/>
  <c r="S93" i="68"/>
  <c r="R93" i="68"/>
  <c r="P93" i="68"/>
  <c r="O93" i="68"/>
  <c r="N93" i="68"/>
  <c r="M93" i="68"/>
  <c r="L93" i="68"/>
  <c r="K93" i="68"/>
  <c r="J93" i="68"/>
  <c r="I93" i="68"/>
  <c r="H93" i="68"/>
  <c r="G93" i="68"/>
  <c r="F93" i="68"/>
  <c r="E93" i="68"/>
  <c r="D93" i="68"/>
  <c r="C93" i="68"/>
  <c r="A93" i="68"/>
  <c r="AD188" i="67"/>
  <c r="AC188" i="67"/>
  <c r="AB188" i="67"/>
  <c r="Z188" i="67"/>
  <c r="Y188" i="67"/>
  <c r="S188" i="67"/>
  <c r="R188" i="67"/>
  <c r="P188" i="67"/>
  <c r="O188" i="67"/>
  <c r="N188" i="67"/>
  <c r="M188" i="67"/>
  <c r="L188" i="67"/>
  <c r="K188" i="67"/>
  <c r="J188" i="67"/>
  <c r="I188" i="67"/>
  <c r="H188" i="67"/>
  <c r="G188" i="67"/>
  <c r="F188" i="67"/>
  <c r="E188" i="67"/>
  <c r="D188" i="67"/>
  <c r="C188" i="67"/>
  <c r="A188" i="67"/>
  <c r="G74" i="66"/>
  <c r="AD74" i="66"/>
  <c r="AC74" i="66"/>
  <c r="AB74" i="66"/>
  <c r="Z74" i="66"/>
  <c r="Y74" i="66"/>
  <c r="S74" i="66"/>
  <c r="R74" i="66"/>
  <c r="P74" i="66"/>
  <c r="O74" i="66"/>
  <c r="N74" i="66"/>
  <c r="M74" i="66"/>
  <c r="L74" i="66"/>
  <c r="K74" i="66"/>
  <c r="J74" i="66"/>
  <c r="I74" i="66"/>
  <c r="H74" i="66"/>
  <c r="F74" i="66"/>
  <c r="E74" i="66"/>
  <c r="D74" i="66"/>
  <c r="C74" i="66"/>
  <c r="A74" i="66"/>
  <c r="AD19" i="65"/>
  <c r="F1" i="65" s="1"/>
  <c r="AC19" i="65"/>
  <c r="F2" i="65" s="1"/>
  <c r="AB19" i="65"/>
  <c r="Z19" i="65"/>
  <c r="Y19" i="65"/>
  <c r="S19" i="65"/>
  <c r="R19" i="65"/>
  <c r="P19" i="65"/>
  <c r="O19" i="65"/>
  <c r="N19" i="65"/>
  <c r="M19" i="65"/>
  <c r="L19" i="65"/>
  <c r="K19" i="65"/>
  <c r="J19" i="65"/>
  <c r="I19" i="65"/>
  <c r="H19" i="65"/>
  <c r="G19" i="65"/>
  <c r="F19" i="65"/>
  <c r="E19" i="65"/>
  <c r="D19" i="65"/>
  <c r="C19" i="65"/>
  <c r="A19" i="65"/>
  <c r="AD41" i="64"/>
  <c r="AC41" i="64"/>
  <c r="AB41" i="64"/>
  <c r="Z41" i="64"/>
  <c r="Y41" i="64"/>
  <c r="S41" i="64"/>
  <c r="R41" i="64"/>
  <c r="P41" i="64"/>
  <c r="O41" i="64"/>
  <c r="N41" i="64"/>
  <c r="M41" i="64"/>
  <c r="L41" i="64"/>
  <c r="K41" i="64"/>
  <c r="J41" i="64"/>
  <c r="I41" i="64"/>
  <c r="H41" i="64"/>
  <c r="G41" i="64"/>
  <c r="F41" i="64"/>
  <c r="E41" i="64"/>
  <c r="D41" i="64"/>
  <c r="C41" i="64"/>
  <c r="A41" i="64"/>
  <c r="A20" i="59"/>
  <c r="A24" i="56"/>
  <c r="AD186" i="33"/>
  <c r="AC186" i="33"/>
  <c r="A186" i="33"/>
  <c r="C186" i="33"/>
  <c r="D186" i="33"/>
  <c r="E186" i="33"/>
  <c r="F186" i="33"/>
  <c r="G186" i="33"/>
  <c r="H186" i="33"/>
  <c r="I186" i="33"/>
  <c r="J186" i="33"/>
  <c r="K186" i="33"/>
  <c r="L186" i="33"/>
  <c r="M186" i="33"/>
  <c r="N186" i="33"/>
  <c r="O186" i="33"/>
  <c r="P186" i="33"/>
  <c r="R186" i="33"/>
  <c r="S186" i="33"/>
  <c r="Y186" i="33"/>
  <c r="Z186" i="33"/>
  <c r="AB186" i="33"/>
  <c r="J12" i="62"/>
  <c r="L12" i="62"/>
  <c r="M12" i="62"/>
  <c r="N12" i="62"/>
  <c r="O12" i="62"/>
  <c r="P12" i="62"/>
  <c r="L10" i="61"/>
  <c r="M10" i="61"/>
  <c r="N10" i="61"/>
  <c r="O10" i="61"/>
  <c r="P10" i="61"/>
  <c r="K10" i="61"/>
  <c r="Q10" i="61"/>
  <c r="R10" i="61"/>
  <c r="S10" i="61"/>
  <c r="T10" i="61"/>
  <c r="B12" i="62"/>
  <c r="C12" i="62"/>
  <c r="D12" i="62"/>
  <c r="E12" i="62"/>
  <c r="F12" i="62"/>
  <c r="G12" i="62"/>
  <c r="H12" i="62"/>
  <c r="I12" i="62"/>
  <c r="K12" i="62"/>
  <c r="Q12" i="62"/>
  <c r="R12" i="62"/>
  <c r="S12" i="62"/>
  <c r="T12" i="62"/>
  <c r="U12" i="62"/>
  <c r="V12" i="62"/>
  <c r="W12" i="62"/>
  <c r="A12" i="62"/>
  <c r="B10" i="61"/>
  <c r="C10" i="61"/>
  <c r="D10" i="61"/>
  <c r="E10" i="61"/>
  <c r="F10" i="61"/>
  <c r="G10" i="61"/>
  <c r="H10" i="61"/>
  <c r="I10" i="61"/>
  <c r="J10" i="61"/>
  <c r="U10" i="61"/>
  <c r="V10" i="61"/>
  <c r="W10" i="61"/>
  <c r="A10" i="61"/>
  <c r="B15" i="60"/>
  <c r="C15" i="60"/>
  <c r="D15" i="60"/>
  <c r="E15" i="60"/>
  <c r="F15" i="60"/>
  <c r="G15" i="60"/>
  <c r="H15" i="60"/>
  <c r="I15" i="60"/>
  <c r="J15" i="60"/>
  <c r="K15" i="60"/>
  <c r="L15" i="60"/>
  <c r="M15" i="60"/>
  <c r="N15" i="60"/>
  <c r="O15" i="60"/>
  <c r="P15" i="60"/>
  <c r="Q15" i="60"/>
  <c r="R15" i="60"/>
  <c r="S15" i="60"/>
  <c r="T15" i="60"/>
  <c r="U15" i="60"/>
  <c r="V15" i="60"/>
  <c r="W15" i="60"/>
  <c r="A15" i="60"/>
  <c r="B20" i="59"/>
  <c r="C20" i="59"/>
  <c r="D20" i="59"/>
  <c r="E20" i="59"/>
  <c r="F20" i="59"/>
  <c r="G20" i="59"/>
  <c r="H20" i="59"/>
  <c r="I20" i="59"/>
  <c r="J20" i="59"/>
  <c r="K20" i="59"/>
  <c r="L20" i="59"/>
  <c r="M20" i="59"/>
  <c r="N20" i="59"/>
  <c r="O20" i="59"/>
  <c r="P20" i="59"/>
  <c r="Q20" i="59"/>
  <c r="R20" i="59"/>
  <c r="S20" i="59"/>
  <c r="T20" i="59"/>
  <c r="U20" i="59"/>
  <c r="V20" i="59"/>
  <c r="W20" i="59"/>
  <c r="B10" i="58"/>
  <c r="C10" i="58"/>
  <c r="D10" i="58"/>
  <c r="E10" i="58"/>
  <c r="F10" i="58"/>
  <c r="G10" i="58"/>
  <c r="H10" i="58"/>
  <c r="I10" i="58"/>
  <c r="J10" i="58"/>
  <c r="K10" i="58"/>
  <c r="L10" i="58"/>
  <c r="M10" i="58"/>
  <c r="N10" i="58"/>
  <c r="O10" i="58"/>
  <c r="P10" i="58"/>
  <c r="Q10" i="58"/>
  <c r="R10" i="58"/>
  <c r="S10" i="58"/>
  <c r="T10" i="58"/>
  <c r="U10" i="58"/>
  <c r="V10" i="58"/>
  <c r="W10" i="58"/>
  <c r="A10" i="58"/>
  <c r="B24" i="56"/>
  <c r="C24" i="56"/>
  <c r="D24" i="56"/>
  <c r="E24" i="56"/>
  <c r="F24" i="56"/>
  <c r="G24" i="56"/>
  <c r="H24" i="56"/>
  <c r="I24" i="56"/>
  <c r="J24" i="56"/>
  <c r="K24" i="56"/>
  <c r="L24" i="56"/>
  <c r="M24" i="56"/>
  <c r="N24" i="56"/>
  <c r="O24" i="56"/>
  <c r="P24" i="56"/>
  <c r="Q24" i="56"/>
  <c r="R24" i="56"/>
  <c r="S24" i="56"/>
  <c r="T24" i="56"/>
  <c r="U24" i="56"/>
  <c r="V24" i="56"/>
  <c r="W24" i="56"/>
  <c r="A15" i="55"/>
  <c r="AD15" i="55"/>
  <c r="AC15" i="55"/>
  <c r="AB15" i="55"/>
  <c r="Z15" i="55"/>
  <c r="Y15" i="55"/>
  <c r="S15" i="55"/>
  <c r="R15" i="55"/>
  <c r="P15" i="55"/>
  <c r="O15" i="55"/>
  <c r="N15" i="55"/>
  <c r="M15" i="55"/>
  <c r="L15" i="55"/>
  <c r="K15" i="55"/>
  <c r="J15" i="55"/>
  <c r="I15" i="55"/>
  <c r="H15" i="55"/>
  <c r="G15" i="55"/>
  <c r="F15" i="55"/>
  <c r="E15" i="55"/>
  <c r="D15" i="55"/>
  <c r="C15" i="55"/>
  <c r="B117" i="53"/>
  <c r="C117" i="53"/>
  <c r="D117" i="53"/>
  <c r="E117" i="53"/>
  <c r="F117" i="53"/>
  <c r="G117" i="53"/>
  <c r="A117" i="53"/>
  <c r="AD21" i="52"/>
  <c r="Z21" i="52"/>
  <c r="M21" i="52"/>
  <c r="G21" i="52"/>
  <c r="D21" i="52"/>
  <c r="AC21" i="52"/>
  <c r="AA21" i="52"/>
  <c r="U21" i="52"/>
  <c r="T21" i="52"/>
  <c r="R21" i="52"/>
  <c r="Q21" i="52"/>
  <c r="P21" i="52"/>
  <c r="O21" i="52"/>
  <c r="N21" i="52"/>
  <c r="L21" i="52"/>
  <c r="J21" i="52"/>
  <c r="I21" i="52"/>
  <c r="H21" i="52"/>
  <c r="F21" i="52"/>
  <c r="E21" i="52"/>
  <c r="C21" i="52"/>
  <c r="A21" i="52"/>
  <c r="F2" i="68" l="1"/>
  <c r="F1" i="68"/>
  <c r="F1" i="67"/>
  <c r="F2" i="67"/>
  <c r="F2" i="66"/>
  <c r="F1" i="66"/>
  <c r="F1" i="64"/>
  <c r="F2" i="64"/>
  <c r="F2" i="55"/>
  <c r="F1" i="55"/>
  <c r="E2" i="52"/>
  <c r="E1" i="52"/>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[Threaded comment]
Your version of Excel allows you to read this threaded comment; however, any edits to it will get removed if the file is opened in a newer version of Excel. Learn more: https://go.microsoft.com/fwlink/?linkid=870924
Comment: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[Threaded comment]
Your version of Excel allows you to read this threaded comment; however, any edits to it will get removed if the file is opened in a newer version of Excel. Learn more: https://go.microsoft.com/fwlink/?linkid=870924
Comment: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Reply:
    @Vianney DRESCHER (EXT) mettre à jour l'utilisation de la regex NOMENCLATURE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tc={98187B6F-EF48-440E-BF9B-5E9169C4DB80}</author>
    <author>tc={AFB21D1F-30FE-4C4B-ABC7-9BC7E69C97E1}</author>
  </authors>
  <commentList>
    <comment ref="H1" authorId="0" shapeId="0" xr:uid="{98187B6F-EF48-440E-BF9B-5E9169C4DB80}">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AFB21D1F-30FE-4C4B-ABC7-9BC7E69C97E1}">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tc={594A1221-B789-4562-BB7C-27B8542B3E89}</author>
    <author>tc={CF7C05A2-B923-4A06-82D8-BBE44ED40502}</author>
  </authors>
  <commentList>
    <comment ref="H1" authorId="0" shapeId="0" xr:uid="{594A1221-B789-4562-BB7C-27B8542B3E89}">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CF7C05A2-B923-4A06-82D8-BBE44ED40502}">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t>
      </text>
    </comment>
    <comment ref="H11" authorId="1" shapeId="0" xr:uid="{90B4ADD3-1609-4F71-A5B6-1DC28B79EDC6}">
      <text>
        <t>[Threaded comment]
Your version of Excel allows you to read this threaded comment; however, any edits to it will get removed if the file is opened in a newer version of Excel. Learn more: https://go.microsoft.com/fwlink/?linkid=870924
Comment: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[Threaded comment]
Your version of Excel allows you to read this threaded comment; however, any edits to it will get removed if the file is opened in a newer version of Excel. Learn more: https://go.microsoft.com/fwlink/?linkid=870924
Comment:
    Actuellement c'est au format fr.health.samuXXXX dans la clé dans l'EDXL du DST =&gt; on aligne dans NexSIS ?
 </t>
      </text>
    </comment>
    <comment ref="C18" authorId="3" shapeId="0" xr:uid="{1927E378-6834-0349-AD23-29E7065B94FB}">
      <text>
        <t>[Threaded comment]
Your version of Excel allows you to read this threaded comment; however, any edits to it will get removed if the file is opened in a newer version of Excel. Learn more: https://go.microsoft.com/fwlink/?linkid=870924
Comment:
    Ajouter un champs reason/source et objectives/scope qui disent pourquoi on partage ce message (abonnement et on le cite, soit générique, soit manuel, soit pour info, …)
ex : “manual” pour “info/notification”, “auto” pour “action”, “manual” pour “interco sans départ (ISF)”, …
Reply:
    -&gt; Faire une proposition pour un échange ultérieur avec NexSIS</t>
      </text>
    </comment>
    <comment ref="I18" authorId="4" shapeId="0" xr:uid="{6A5C7D7D-915B-41FC-BD70-13D49FF09276}">
      <text>
        <t>[Threaded comment]
Your version of Excel allows you to read this threaded comment; however, any edits to it will get removed if the file is opened in a newer version of Excel. Learn more: https://go.microsoft.com/fwlink/?linkid=870924
Comment:
    Récupérer input Nader, il y'aura un préfixe "{PAYS}:{FORCE}:…"</t>
      </text>
    </comment>
    <comment ref="H19" authorId="5" shapeId="0" xr:uid="{00EBB6F5-C503-45A7-B304-F374E173A7E5}">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 ref="H20" authorId="6" shapeId="0" xr:uid="{96C339D6-7087-4EA6-BE2F-1DFAE1DE86AE}">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tc={0D014C0F-4DE7-B347-9D64-1A6DDC429318}</author>
    <author>tc={B22E257A-7C89-1E4C-AF78-F478ABBC4BE6}</author>
    <author>tc={0E9809E8-02C2-334A-8405-BA74B7E23FD3}</author>
    <author>tc={F8C90623-E217-A249-8228-32B78C0B6D10}</author>
    <author>tc={1BD69032-5101-864A-999F-46821FFFF5C3}</author>
    <author>tc={2489F405-4C44-8449-A27E-F93D38CE0D60}</author>
    <author>tc={9E5B6CE6-3E96-6149-B0D6-01815EF4B873}</author>
    <author>tc={2B8BB2A4-9702-1D4E-BAEF-A1B69F6DE713}</author>
    <author>tc={A66E3E6D-9F7B-F44D-A65C-D48ED818FC6A}</author>
    <author>tc={93228C0F-E002-1841-8521-E10D663289D9}</author>
    <author>tc={53EA6CEE-A8CD-3A4D-8A1F-0F029B5B6266}</author>
  </authors>
  <commentList>
    <comment ref="H1" authorId="0" shapeId="0" xr:uid="{0D014C0F-4DE7-B347-9D64-1A6DDC429318}">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B22E257A-7C89-1E4C-AF78-F478ABBC4BE6}">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C14" authorId="2" shapeId="0" xr:uid="{0E9809E8-02C2-334A-8405-BA74B7E23FD3}">
      <text>
        <t>[Threaded comment]
Your version of Excel allows you to read this threaded comment; however, any edits to it will get removed if the file is opened in a newer version of Excel. Learn more: https://go.microsoft.com/fwlink/?linkid=870924
Comment:
    Main courante des ARM =&gt; liste</t>
      </text>
    </comment>
    <comment ref="C22" authorId="3" shapeId="0" xr:uid="{F8C90623-E217-A249-8228-32B78C0B6D10}">
      <text>
        <t>[Threaded comment]
Your version of Excel allows you to read this threaded comment; however, any edits to it will get removed if the file is opened in a newer version of Excel. Learn more: https://go.microsoft.com/fwlink/?linkid=870924
Comment:
    Motif ARM
Reply:
    Différent de celui médecin</t>
      </text>
    </comment>
    <comment ref="D42" authorId="4" shapeId="0" xr:uid="{1BD69032-5101-864A-999F-46821FFFF5C3}">
      <text>
        <t>[Threaded comment]
Your version of Excel allows you to read this threaded comment; however, any edits to it will get removed if the file is opened in a newer version of Excel. Learn more: https://go.microsoft.com/fwlink/?linkid=870924
Comment:
    Exos gère pas les PK comme ça !
Reply:
    Sujet sur l’autoroute… comment on passe cette localisation (pas d’adresse)</t>
      </text>
    </comment>
    <comment ref="D50" authorId="5" shapeId="0" xr:uid="{2489F405-4C44-8449-A27E-F93D38CE0D60}">
      <text>
        <t>[Threaded comment]
Your version of Excel allows you to read this threaded comment; however, any edits to it will get removed if the file is opened in a newer version of Excel. Learn more: https://go.microsoft.com/fwlink/?linkid=870924
Comment:
    Lieu dit ?</t>
      </text>
    </comment>
    <comment ref="C78" authorId="6" shapeId="0" xr:uid="{9E5B6CE6-3E96-6149-B0D6-01815EF4B873}">
      <text>
        <t>[Threaded comment]
Your version of Excel allows you to read this threaded comment; however, any edits to it will get removed if the file is opened in a newer version of Excel. Learn more: https://go.microsoft.com/fwlink/?linkid=870924
Comment:
    Champs libre de précision sur adresse</t>
      </text>
    </comment>
    <comment ref="C84" authorId="7" shapeId="0" xr:uid="{2B8BB2A4-9702-1D4E-BAEF-A1B69F6DE713}">
      <text>
        <t>[Threaded comment]
Your version of Excel allows you to read this threaded comment; however, any edits to it will get removed if the file is opened in a newer version of Excel. Learn more: https://go.microsoft.com/fwlink/?linkid=870924
Comment:
    Exos a une liste de numéros avec en champs libre pour le type + un “numéro principal”</t>
      </text>
    </comment>
    <comment ref="B161" authorId="8" shapeId="0" xr:uid="{A66E3E6D-9F7B-F44D-A65C-D48ED818FC6A}">
      <text>
        <t>[Threaded comment]
Your version of Excel allows you to read this threaded comment; however, any edits to it will get removed if the file is opened in a newer version of Excel. Learn more: https://go.microsoft.com/fwlink/?linkid=870924
Comment:
    Hors du périmètre Appel Limitrophe
Reply:
    A voir… Car ça permet de mettre dans le même cas d’embrayer sur la demande d’engagement de vecteur du SMAU d’en face
Reply:
    Liste de textes libres déjà pour le moment</t>
      </text>
    </comment>
    <comment ref="B169" authorId="9" shapeId="0" xr:uid="{93228C0F-E002-1841-8521-E10D663289D9}">
      <text>
        <t>[Threaded comment]
Your version of Excel allows you to read this threaded comment; however, any edits to it will get removed if the file is opened in a newer version of Excel. Learn more: https://go.microsoft.com/fwlink/?linkid=870924
Comment:
    A rediscuter !!! Mais au de la de la création</t>
      </text>
    </comment>
    <comment ref="C172" authorId="10" shapeId="0" xr:uid="{53EA6CEE-A8CD-3A4D-8A1F-0F029B5B6266}">
      <text>
        <t>[Threaded comment]
Your version of Excel allows you to read this threaded comment; however, any edits to it will get removed if the file is opened in a newer version of Excel. Learn more: https://go.microsoft.com/fwlink/?linkid=870924
Comment:
    Pompiers ont 2 missions : aller au chevet + faire transport.
Mais donc pas adapté…</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tc={80848A42-0F14-B24F-8D04-3043FFD08495}</author>
    <author>tc={D4A6E809-E116-4F43-AB47-04D882212A95}</author>
    <author>tc={309DA0AD-08A5-48B1-8181-1F2CF88AD9D6}</author>
    <author>tc={69DA961E-023F-4CCC-87B8-5E0165FCFF9B}</author>
    <author>tc={77ED2E6B-DD8D-4E8A-8AF3-5F8BE44D831E}</author>
    <author>tc={5B87F3E0-42AE-40C0-BFFC-2EB08FD229EA}</author>
    <author>tc={C407DBF8-A3A1-42F8-99B5-D8013FA36506}</author>
    <author>tc={21F0D62A-A239-794F-8300-5B191BC3F425}</author>
    <author>tc={0CF29C07-A470-4C7E-BB1B-C82F21208545}</author>
    <author>tc={671673A3-61CA-394E-94B2-4C7157E8A6A7}</author>
    <author>tc={3163C301-BF45-42AC-9B93-9FA29CCC4160}</author>
    <author>tc={E4B924E1-C80E-F54A-9F2A-990A48DF3558}</author>
    <author>tc={C836823B-BC8E-C84B-B7B0-FDAB5856DC4B}</author>
    <author>tc={F63CD7B6-7D33-47AE-8986-700F3EE32D5A}</author>
    <author>tc={A2629A30-8579-B745-804F-8D68CAC27551}</author>
    <author>tc={85B1EF9F-47F0-CE46-887A-E909D7720A3B}</author>
    <author>tc={3B2E0936-494B-B445-A636-D7FDBB9167D5}</author>
    <author>tc={925BDB3E-FDC8-4AE9-BBEA-7ACEF4FDDB2C}</author>
    <author>tc={8AEC1623-DDE1-47FA-B84D-C6A42BA263BB}</author>
    <author>tc={0CFF5582-9153-4C81-BF2B-0E3E475CB201}</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tc={7BED2FAB-053B-044B-A4B2-EA939D9441D5}</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tc={564332DB-ADA6-844E-907A-3843E012B57E}</author>
    <author>tc={50663E24-E8B2-4610-BB55-CDEDCB0AEBE2}</author>
    <author>tc={449D854F-D1BC-4874-A270-C7FBD5C53315}</author>
    <author>tc={D22EB006-FD31-4905-A0BA-E809AB322C44}</author>
    <author>tc={EC4CA26B-FA56-44B7-9485-D7650DC1B372}</author>
    <author>tc={0EC36618-96EE-478D-81B9-54F0CAEE9F88}</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tc={CC5C1D76-D97F-4BE5-B966-DD495B85204C}</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tc={07B5D5D0-B502-47B6-A891-DAEF39BCC4D8}</author>
    <author>tc={8BCB09BF-A48C-8242-B3C8-18F71F97C7AD}</author>
    <author>tc={F7E40DD6-D14F-4AC4-95ED-C43838656AE4}</author>
    <author>tc={3A4DE914-B324-41EC-B1CE-789615C59923}</author>
    <author>tc={A9F8EF48-108A-4EAB-A6C9-DAA6E6A1C56C}</author>
    <author>tc={E40A2F45-E340-487F-9FD6-2404E4F5A700}</author>
    <author>tc={9EEB9362-90F5-494F-BB71-06EF0D54376B}</author>
    <author>tc={CB950F1D-7F07-43E1-850B-913CBE20F585}</author>
    <author>tc={258F99A5-CCAC-44B3-9CB2-E5E5FB7A031F}</author>
    <author>tc={B13CB5B2-E438-4033-8E1A-8B428C2D7B3E}</author>
    <author>tc={10CBED9B-33B3-4F2D-9D08-CE6F15806504}</author>
    <author>tc={47F99561-A768-4B9A-96FB-A8753B229875}</author>
    <author>tc={647A8527-7AF1-45AA-BB58-53C964C0E6F0}</author>
    <author>tc={396E04AD-6D8D-4E1E-B5C4-258495B5CC68}</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tc={24B071A5-FE22-46B3-B0AC-65924FDC1BDF}</author>
    <author>tc={014DE198-64E2-4507-A3FC-DF421F511779}</author>
    <author>tc={4D4D3CF8-E01B-401A-8386-AAC604D8291A}</author>
    <author>tc={BA91A5D4-B745-43C1-AD05-F9E9B9B84277}</author>
    <author>tc={4EB3C325-52F0-4D01-94D2-8AA5841A689A}</author>
    <author>tc={FFA7F0E1-3845-469A-B7CF-A4621D3089F0}</author>
    <author>tc={C395B7C5-0539-4FBB-9D43-E0A24F8519C0}</author>
    <author>tc={790794B9-B934-4B4C-A8C0-8C9B2176B829}</author>
    <author>tc={2D9ECE82-3D73-4587-8C50-69F305FE6D3A}</author>
    <author>tc={000D1EF5-EA8D-4028-887E-09B730402CB5}</author>
    <author>tc={B2A46742-7986-49EC-BFF2-E5B137820840}</author>
    <author>tc={55DD76D7-71AA-4415-B5EF-4C960C6C5F04}</author>
    <author>tc={DC749AE9-4EDB-4A7F-8A7B-0D009E03AED0}</author>
    <author>tc={522C021E-FCFD-4A22-8243-F9B9E8F1567F}</author>
    <author>tc={A01A1601-D876-42A1-B7E1-CAFC7CAE43BD}</author>
    <author>tc={6542F462-2A54-48A5-9A62-7E7CFBDF2B9A}</author>
    <author>tc={4DB9FC1B-FE92-4AA7-B2F3-BFF17D976413}</author>
    <author>tc={DFEBA3BC-8166-4F9F-A129-402A4AB175F7}</author>
    <author>tc={04411F78-544D-4A29-9486-C852BE16B4A1}</author>
    <author>tc={D34D40C8-9930-4697-941A-5B0307605F2D}</author>
    <author>tc={67DC72F8-6B7D-47A0-BEBA-53124836E50B}</author>
    <author>tc={F5B47079-EDF2-4F5B-8F3A-6F444147F2DD}</author>
    <author>tc={6729E6ED-B0CD-41F4-BDE9-63A71C3B0080}</author>
    <author>tc={94CB63FF-3915-49D6-9867-9F61128C5ACD}</author>
    <author>tc={418F6048-D82E-4151-A527-DD3375E32EDF}</author>
    <author>tc={B2E36609-985A-480B-9D00-3FA79278887B}</author>
    <author>tc={3E4494E4-4D0B-482E-8C44-6CA902FCAA01}</author>
    <author>tc={12397E16-0DD2-4B81-8BEC-31510D881B5D}</author>
    <author>tc={56075946-9C3F-8345-89AE-75C567E0E491}</author>
    <author>tc={D6BBFD18-B7C3-44E9-AAAF-C0520A0384D3}</author>
    <author>tc={35A8B61A-91A9-4016-9958-8C97F591EBB5}</author>
  </authors>
  <commentList>
    <comment ref="H1" authorId="0" shapeId="0" xr:uid="{0D20D026-08EF-BF4D-96F2-14785B9E1E71}">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2DE185BB-39B8-8846-9B2A-3BE28378E3AC}">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B9" authorId="2" shapeId="0" xr:uid="{CEDF6F28-E758-A946-873F-600E903DBF23}">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H9" authorId="3" shapeId="0" xr:uid="{714D9BD5-569A-7746-8D28-EE0807D930C4}">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
Reply:
    Vraiment besoin du AF dans l’ID ? RRAMU est pas fan. Dossier de régulation peut avoir plusieurs épisodes successifs cohérents entre eux. Si demande sur event 1 et event 2 =&gt; même ref =&gt; pompiers seraient perdus ! Chaque partage donnera référence unique côté RRAMU
Reply: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Reply:
    Voir avec NexSIS si c’est vraiment nécessaire où si on peut juste faire idStructure_idLocale ?
Reply: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Reply:
    Remarque Olivier : contrainte sur le français
Reply:
    Ajouter une explication sur l'utilité de la clé unique et pourquoi elle doit être intelligible
Reply:
    Définir le concept de clé conventionnelle</t>
      </text>
    </comment>
    <comment ref="H10" authorId="4" shapeId="0" xr:uid="{1F89621F-4A5C-4ECD-A7C6-DD10AB56DF40}">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 ref="S14" authorId="6" shapeId="0" xr:uid="{80848A42-0F14-B24F-8D04-3043FFD08495}">
      <text>
        <t>[Threaded comment]
Your version of Excel allows you to read this threaded comment; however, any edits to it will get removed if the file is opened in a newer version of Excel. Learn more: https://go.microsoft.com/fwlink/?linkid=870924
Comment:
    Format : codeLabelComment
Détails : référence vers la nomenclature
Type Java : name</t>
      </text>
    </comment>
    <comment ref="U15" authorId="7" shapeId="0" xr:uid="{D4A6E809-E116-4F43-AB47-04D882212A95}">
      <text>
        <t>[Threaded comment]
Your version of Excel allows you to read this threaded comment; however, any edits to it will get removed if the file is opened in a newer version of Excel. Learn more: https://go.microsoft.com/fwlink/?linkid=870924
Comment:
    NOMENCLATURE: CISU-Code_Nature_de_fait</t>
      </text>
    </comment>
    <comment ref="U18" authorId="8" shapeId="0" xr:uid="{309DA0AD-08A5-48B1-8181-1F2CF88AD9D6}">
      <text>
        <t>[Threaded comment]
Your version of Excel allows you to read this threaded comment; however, any edits to it will get removed if the file is opened in a newer version of Excel. Learn more: https://go.microsoft.com/fwlink/?linkid=870924
Comment:
    Voir nomenclature CISU Type de Lieu</t>
      </text>
    </comment>
    <comment ref="U19" authorId="9" shapeId="0" xr:uid="{69DA961E-023F-4CCC-87B8-5E0165FCFF9B}">
      <text>
        <t>[Threaded comment]
Your version of Excel allows you to read this threaded comment; however, any edits to it will get removed if the file is opened in a newer version of Excel. Learn more: https://go.microsoft.com/fwlink/?linkid=870924
Comment:
    Voir nomenclature CISU Risque, menace et sensibilité</t>
      </text>
    </comment>
    <comment ref="C20" authorId="10" shapeId="0" xr:uid="{77ED2E6B-DD8D-4E8A-8AF3-5F8BE44D831E}">
      <text>
        <t xml:space="preserve">[Threaded comment]
Your version of Excel allows you to read this threaded comment; however, any edits to it will get removed if the file is opened in a newer version of Excel. Learn more: https://go.microsoft.com/fwlink/?linkid=870924
Comment:
    A l'étude  pour voir si on le sort de la qualification de l'affaire et on le met dans patient/victime ?
Reply: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11" shapeId="0" xr:uid="{5B87F3E0-42AE-40C0-BFFC-2EB08FD229EA}">
      <text>
        <t>[Threaded comment]
Your version of Excel allows you to read this threaded comment; however, any edits to it will get removed if the file is opened in a newer version of Excel. Learn more: https://go.microsoft.com/fwlink/?linkid=870924
Comment:
    Du coup oui c'est par patient, mais c'est pas forcément ce que les SAMU notent comme étant le motif d'intervention = nature de fait ?  Ou autre chose ?
Reply:
    Voir nomenclature CISU Motif de recours médico-secouriste</t>
      </text>
    </comment>
    <comment ref="C21" authorId="12" shapeId="0" xr:uid="{C407DBF8-A3A1-42F8-99B5-D8013FA36506}">
      <text>
        <t>[Threaded comment]
Your version of Excel allows you to read this threaded comment; however, any edits to it will get removed if the file is opened in a newer version of Excel. Learn more: https://go.microsoft.com/fwlink/?linkid=870924
Comment:
    Est-ce vraiment utile de s'échanger l'état du dossier ? Faut-il y ajouter le type ?  
Reply: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K21" authorId="13" shapeId="0" xr:uid="{21F0D62A-A239-794F-8300-5B191BC3F425}">
      <text>
        <t>[Threaded comment]
Your version of Excel allows you to read this threaded comment; however, any edits to it will get removed if the file is opened in a newer version of Excel. Learn more: https://go.microsoft.com/fwlink/?linkid=870924
Comment:
    J’ai migré tous les champs dans case.details, ça te semble OK ?</t>
      </text>
    </comment>
    <comment ref="U22" authorId="14" shapeId="0" xr:uid="{0CF29C07-A470-4C7E-BB1B-C82F21208545}">
      <text>
        <t>[Threaded comment]
Your version of Excel allows you to read this threaded comment; however, any edits to it will get removed if the file is opened in a newer version of Excel. Learn more: https://go.microsoft.com/fwlink/?linkid=870924
Comment:
    Juste une énumération pour l'instant, pas de nomenclature dispo.</t>
      </text>
    </comment>
    <comment ref="K24" authorId="15" shapeId="0" xr:uid="{671673A3-61CA-394E-94B2-4C7157E8A6A7}">
      <text>
        <t>[Threaded comment]
Your version of Excel allows you to read this threaded comment; however, any edits to it will get removed if the file is opened in a newer version of Excel. Learn more: https://go.microsoft.com/fwlink/?linkid=870924
Comment:
    J’ai du mal à voir si les LRM où ont vraiment cette info !</t>
      </text>
    </comment>
    <comment ref="U24" authorId="16" shapeId="0" xr:uid="{3163C301-BF45-42AC-9B93-9FA29CCC4160}">
      <text>
        <t>[Threaded comment]
Your version of Excel allows you to read this threaded comment; however, any edits to it will get removed if the file is opened in a newer version of Excel. Learn more: https://go.microsoft.com/fwlink/?linkid=870924
Comment:
    Nomenclature SI-SAMU DEVENIRD</t>
      </text>
    </comment>
    <comment ref="D25" authorId="17" shapeId="0" xr:uid="{E4B924E1-C80E-F54A-9F2A-990A48DF3558}">
      <text>
        <t>[Threaded comment]
Your version of Excel allows you to read this threaded comment; however, any edits to it will get removed if the file is opened in a newer version of Excel. Learn more: https://go.microsoft.com/fwlink/?linkid=870924
Comment:
    L'info est-elle obligatoire pou les échanges 15-15</t>
      </text>
    </comment>
    <comment ref="K25" authorId="18" shapeId="0" xr:uid="{C836823B-BC8E-C84B-B7B0-FDAB5856DC4B}">
      <text>
        <t>[Threaded comment]
Your version of Excel allows you to read this threaded comment; however, any edits to it will get removed if the file is opened in a newer version of Excel. Learn more: https://go.microsoft.com/fwlink/?linkid=870924
Comment:
    Les P c’est les priorités ARM normalement, les propriétés de régulation médicales c’est les R1, R2, … non ? Est-ce qu’on passe que les P ? On passe les autres aussi ?</t>
      </text>
    </comment>
    <comment ref="U25" authorId="19" shapeId="0" xr:uid="{F63CD7B6-7D33-47AE-8986-700F3EE32D5A}">
      <text>
        <t>[Threaded comment]
Your version of Excel allows you to read this threaded comment; however, any edits to it will get removed if the file is opened in a newer version of Excel. Learn more: https://go.microsoft.com/fwlink/?linkid=870924
Comment:
    Nomenclature PRIORITE (fichier SI-SAMU envoyé par Philippe)</t>
      </text>
    </comment>
    <comment ref="U27" authorId="20" shapeId="0" xr:uid="{A2629A30-8579-B745-804F-8D68CAC27551}">
      <text>
        <t>[Threaded comment]
Your version of Excel allows you to read this threaded comment; however, any edits to it will get removed if the file is opened in a newer version of Excel. Learn more: https://go.microsoft.com/fwlink/?linkid=870924
Comment:
    NexSIS propose de rajouter UNKNOWN
Reply: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
Reply:
    Implémenter la nomenclature CISU/SI SAMU prévue ?</t>
      </text>
    </comment>
    <comment ref="C32" authorId="21" shapeId="0" xr:uid="{85B1EF9F-47F0-CE46-887A-E909D7720A3B}">
      <text>
        <t>[Threaded comment]
Your version of Excel allows you to read this threaded comment; however, any edits to it will get removed if the file is opened in a newer version of Excel. Learn more: https://go.microsoft.com/fwlink/?linkid=870924
Comment:
    Inetum est pas intéressé par le champ -&gt; pas stocké et renverra une concaténation. Possible de l’enlever ou le passer en facultatif ?
Reply:
    fait</t>
      </text>
    </comment>
    <comment ref="S32" authorId="22" shapeId="0" xr:uid="{3B2E0936-494B-B445-A636-D7FDBB9167D5}">
      <text>
        <t>[Threaded comment]
Your version of Excel allows you to read this threaded comment; however, any edits to it will get removed if the file is opened in a newer version of Excel. Learn more: https://go.microsoft.com/fwlink/?linkid=870924
Comment:
    Nader veut passer le nombre max de caractères de 80 à 255</t>
      </text>
    </comment>
    <comment ref="C33" authorId="23" shapeId="0" xr:uid="{925BDB3E-FDC8-4AE9-BBEA-7ACEF4FDDB2C}">
      <text>
        <t>[Threaded comment]
Your version of Excel allows you to read this threaded comment; however, any edits to it will get removed if the file is opened in a newer version of Excel. Learn more: https://go.microsoft.com/fwlink/?linkid=870924
Comment:
    Revu avec NexSIS =&gt; à passer en optionnel
Reply:
    A voir avec NexSIS
Reply: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3" authorId="24" shapeId="0" xr:uid="{8AEC1623-DDE1-47FA-B84D-C6A42BA263BB}">
      <text>
        <t>[Threaded comment]
Your version of Excel allows you to read this threaded comment; however, any edits to it will get removed if the file is opened in a newer version of Excel. Learn more: https://go.microsoft.com/fwlink/?linkid=870924
Comment:
    Ici il faut mettre uniquement le nom du lieu. Lieu-dit / quartier et le reste vont dans compléments de commune
Reply:
    Lac / foret sont plutôt des types de lieu ? Sauf si spécifique, par exemple Foret de Fontainebleau</t>
      </text>
    </comment>
    <comment ref="U35" authorId="25" shapeId="0" xr:uid="{0CFF5582-9153-4C81-BF2B-0E3E475CB201}">
      <text>
        <t>[Threaded comment]
Your version of Excel allows you to read this threaded comment; however, any edits to it will get removed if the file is opened in a newer version of Excel. Learn more: https://go.microsoft.com/fwlink/?linkid=870924
Comment:
    Voir pour compléter cette liste ?</t>
      </text>
    </comment>
    <comment ref="D44" authorId="26" shapeId="0" xr:uid="{8DE310B9-0615-45CC-A644-35176EC52B6C}">
      <text>
        <t>[Threaded comment]
Your version of Excel allows you to read this threaded comment; however, any edits to it will get removed if the file is opened in a newer version of Excel. Learn more: https://go.microsoft.com/fwlink/?linkid=870924
Comment: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Reply:
    Le monde réel !!! Toutes les rues n'ont pas été renommées ! Lille en 2014 avait 95 triplons (longtemps après fusion de 3 communes) -&gt; c'est très compliqué de renommer !!!
Reply: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Reply:
    Rq : lieu-dits permettent aussi de séparer 2 rives
Reply:
    =&gt; lieu-dit à extraire !!! Avoir sa propre ligne hors du nom du lieu, ça permet de travailler sur une fraction de la commune
Reply:
    Pas sûr qu'on puisse les exploiter...
Reply:
    Autoroute dans un sens = 1 commune et lieu-dits pour les tronçons 
Reply:
    Clé d'avoir commune = surface et lieu-dit = sous-surface (lieu-dit de commune, zonage du port, sous-partie d'un event, tronçon accessible d'un autoroute, ...)
Reply:
    Pas de dictionnaire opérationnel commun...
Reply:
    NexSIS fonctionne surtout sur le X/Y donc c’est pas un soucis ! 
Sur Paris, ils ont complété les adresses avec l’ancien nom de rue par exemple</t>
      </text>
    </comment>
    <comment ref="C48" authorId="27" shapeId="0" xr:uid="{49FC8FAC-1BAF-45B2-887C-3878DB0CEBFB}">
      <text>
        <t>[Threaded comment]
Your version of Excel allows you to read this threaded comment; however, any edits to it will get removed if the file is opened in a newer version of Excel. Learn more: https://go.microsoft.com/fwlink/?linkid=870924
Comment:
    On a finalement une logique de clé valeur avec des string sans contrôle. Le rendre plus modulaire avec des couples {cle(étages, interphone etc), valeur} avec une nomenclature sur les clés ?
=&gt; pas critique si validé CISU
Reply:
    On peut limiter le nombre de détails à 20 par exemple</t>
      </text>
    </comment>
    <comment ref="D57" authorId="28" shapeId="0" xr:uid="{8B068B41-6738-4D89-AE95-7DBE47687C8B}">
      <text>
        <t xml:space="preserve">[Threaded comment]
Your version of Excel allows you to read this threaded comment; however, any edits to it will get removed if the file is opened in a newer version of Excel. Learn more: https://go.microsoft.com/fwlink/?linkid=870924
Comment:
    Faut-il utiliser un autre objet, déjà existant ? </t>
      </text>
    </comment>
    <comment ref="Q60" authorId="29" shapeId="0" xr:uid="{82E4F400-D3A9-2343-9417-D338A272253E}">
      <text>
        <t>[Threaded comment]
Your version of Excel allows you to read this threaded comment; however, any edits to it will get removed if the file is opened in a newer version of Excel. Learn more: https://go.microsoft.com/fwlink/?linkid=870924
Comment:
    Nécessaire de le passer obligatoire pour NexSIS (retour Scriptal) ?</t>
      </text>
    </comment>
    <comment ref="H68" authorId="30" shapeId="0" xr:uid="{4ED4D63E-99DA-4C40-8B3F-74484A91486A}">
      <text>
        <t>[Threaded comment]
Your version of Excel allows you to read this threaded comment; however, any edits to it will get removed if the file is opened in a newer version of Excel. Learn more: https://go.microsoft.com/fwlink/?linkid=870924
Comment:
    Pourquoi passer par EPSG-4326 et pas dire WGS-84 direct ?
Reply:
    WGS système de projection et EPSG système de coordonnées ?</t>
      </text>
    </comment>
    <comment ref="D69" authorId="31" shapeId="0" xr:uid="{F2C29A76-9B08-4696-A7FF-552A24CA01B1}">
      <text>
        <t xml:space="preserve">[Threaded comment]
Your version of Excel allows you to read this threaded comment; however, any edits to it will get removed if the file is opened in a newer version of Excel. Learn more: https://go.microsoft.com/fwlink/?linkid=870924
Comment:
    En attente précision NexSIS
</t>
      </text>
    </comment>
    <comment ref="H69" authorId="32" shapeId="0" xr:uid="{A443D7D1-FE76-42EE-B140-98BBD5AEDCB9}">
      <text>
        <t>[Threaded comment]
Your version of Excel allows you to read this threaded comment; however, any edits to it will get removed if the file is opened in a newer version of Excel. Learn more: https://go.microsoft.com/fwlink/?linkid=870924
Comment:
    Attention, pas d'équivalent strict du GML en json</t>
      </text>
    </comment>
    <comment ref="S69" authorId="33" shapeId="0" xr:uid="{44161FD7-DA29-2241-8A73-168E646C6F3C}">
      <text>
        <t>[Threaded comment]
Your version of Excel allows you to read this threaded comment; however, any edits to it will get removed if the file is opened in a newer version of Excel. Learn more: https://go.microsoft.com/fwlink/?linkid=870924
Comment:
    Pourquoi est-ce une string ?
Reply:
    À confirmer avec NexSIS, est-ce qu'on passe bien un fichier .sketch via une string ?
Reply:
    En attente exemple NexSIS</t>
      </text>
    </comment>
    <comment ref="D70" authorId="34" shapeId="0" xr:uid="{7E6D1FD8-7FC2-45FF-B55C-B3CE3EE247FA}">
      <text>
        <t>[Threaded comment]
Your version of Excel allows you to read this threaded comment; however, any edits to it will get removed if the file is opened in a newer version of Excel. Learn more: https://go.microsoft.com/fwlink/?linkid=870924
Comment: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Reply: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Reply:
    Référentiel commun permettrait de mettre des infos qui intéressent les différents acteurs et de les cloisonner (ex : personnes dangereuses, patients à risque, …) -&gt; possible de l’associer au bâtiment</t>
      </text>
    </comment>
    <comment ref="U71" authorId="35" shapeId="0" xr:uid="{82723964-123F-464F-AC6E-1559C240D31E}">
      <text>
        <t>[Threaded comment]
Your version of Excel allows you to read this threaded comment; however, any edits to it will get removed if the file is opened in a newer version of Excel. Learn more: https://go.microsoft.com/fwlink/?linkid=870924
Comment:
    Vraiment une enum ?</t>
      </text>
    </comment>
    <comment ref="C74" authorId="36" shapeId="0" xr:uid="{7BED2FAB-053B-044B-A4B2-EA939D9441D5}">
      <text>
        <t>[Threaded comment]
Your version of Excel allows you to read this threaded comment; however, any edits to it will get removed if the file is opened in a newer version of Excel. Learn more: https://go.microsoft.com/fwlink/?linkid=870924
Comment:
    A enlever car géré dans le code INSEE -&gt; le spécifier dans la description de la balise du code INSEE
Reply:
    Etranger : 99 + code pays https://medecine.univ-lorraine.fr/sites/medecine.univ-lorraine.fr/files/users/DU_DIU/03_codes_pays.pdf</t>
      </text>
    </comment>
    <comment ref="H74" authorId="37" shapeId="0" xr:uid="{F6DBF483-4352-48F3-A605-280A47B8FAE1}">
      <text>
        <t>[Threaded comment]
Your version of Excel allows you to read this threaded comment; however, any edits to it will get removed if the file is opened in a newer version of Excel. Learn more: https://go.microsoft.com/fwlink/?linkid=870924
Comment:
    Voir si il y'a une nomenclature NexSIS
Reply:
    =&gt; se rapprocher d'ISO</t>
      </text>
    </comment>
    <comment ref="B76" authorId="38" shapeId="0" xr:uid="{33643ED9-2F99-2A40-A4E7-ECC8DE68B2E2}">
      <text>
        <t>[Threaded comment]
Your version of Excel allows you to read this threaded comment; however, any edits to it will get removed if the file is opened in a newer version of Excel. Learn more: https://go.microsoft.com/fwlink/?linkid=870924
Comment:
    RG : les alertes sont immutables !!! C’est pour ça qu’on en rajoute !
C’est l’affaire qu’on modifie -&gt; ex : location, aussi rajouter qualification du coup
Reply:
    A travailler et valider côté Hub, comment les LRMs gèrent une liste d'alerte avec des infos fonctionnellement complémentaires ? KO/OK</t>
      </text>
    </comment>
    <comment ref="Q76" authorId="39" shapeId="0" xr:uid="{36EBE513-9CB4-3348-B010-D39B51DF2455}">
      <text>
        <t>[Threaded comment]
Your version of Excel allows you to read this threaded comment; however, any edits to it will get removed if the file is opened in a newer version of Excel. Learn more: https://go.microsoft.com/fwlink/?linkid=870924
Comment: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Reply:
    NexSIS regarde en ce moment pour voir si c’est possible de fusionner en une liste d’alertes (notamment si c’est possible de faire ça avant le passage en prod !)
Reply:
    -&gt; Dans tous les cas, les LRM doivent prendre la plus récente !
Reply:
    C’est pas forcément la plus remplie mais regarder que l’alerte la plus récente. S’il manque des infos au sein de la dernière alerte, ils remontent la liste des alertes pour trouver la dernière info manquante
Reply:
    Nader creuse le sujet côté NexSIS pour voir comment c’est fait / modifiable côté NexSIS
Reply:
    C’est côté affaire que on récupère la centralisation -&gt; il faut échanger le fait que c’est vu comme ça. -&gt; C’est partagé par EMSI, pas ici (écrit en code CISU dans le système NexSIS… et mappé pour être envoyé en EMSI)</t>
      </text>
    </comment>
    <comment ref="H77" authorId="40" shapeId="0" xr:uid="{2185076E-A743-4FEC-950F-43630CD6417E}">
      <text>
        <t>[Threaded comment]
Your version of Excel allows you to read this threaded comment; however, any edits to it will get removed if the file is opened in a newer version of Excel. Learn more: https://go.microsoft.com/fwlink/?linkid=870924
Comment:
    REGEX à définir</t>
      </text>
    </comment>
    <comment ref="Q77" authorId="41" shapeId="0" xr:uid="{2A6A195C-5D26-FA4B-91BD-34DAEC1D051C}">
      <text>
        <t>[Threaded comment]
Your version of Excel allows you to read this threaded comment; however, any edits to it will get removed if the file is opened in a newer version of Excel. Learn more: https://go.microsoft.com/fwlink/?linkid=870924
Comment:
    Pas vraiment géré côté Santé, possible de passer la cardinalité à 0..1 ?</t>
      </text>
    </comment>
    <comment ref="C78" authorId="42" shapeId="0" xr:uid="{C5B6241A-BACF-47B3-9FCB-3D62B0208AEB}">
      <text>
        <t>[Threaded comment]
Your version of Excel allows you to read this threaded comment; however, any edits to it will get removed if the file is opened in a newer version of Excel. Learn more: https://go.microsoft.com/fwlink/?linkid=870924
Comment:
    Pour savoir quelle alerte utiliser dans une affaire :
=&gt; Regarder cette date de réception</t>
      </text>
    </comment>
    <comment ref="D80" authorId="43" shapeId="0" xr:uid="{849D9658-5404-49CC-A650-D8E23CF68C04}">
      <text>
        <t>[Threaded comment]
Your version of Excel allows you to read this threaded comment; however, any edits to it will get removed if the file is opened in a newer version of Excel. Learn more: https://go.microsoft.com/fwlink/?linkid=870924
Comment:
    Comment on gère le fait que des informations médicales et personnelles peuvent être saisies dans ce champs par le SAMU
Reply:
    Quelle politique HDS côté NexSIS ?</t>
      </text>
    </comment>
    <comment ref="J80" authorId="44" shapeId="0" xr:uid="{6A447ED8-B3D9-4E56-96E2-F03AE558F91D}">
      <text>
        <t>[Threaded comment]
Your version of Excel allows you to read this threaded comment; however, any edits to it will get removed if the file is opened in a newer version of Excel. Learn more: https://go.microsoft.com/fwlink/?linkid=870924
Comment:
    Passer tous les champs dans un style freetext avec un label freetext</t>
      </text>
    </comment>
    <comment ref="H82" authorId="45" shapeId="0" xr:uid="{1045B670-B272-44B0-BDBC-183806654ACA}">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U83" authorId="46" shapeId="0" xr:uid="{564332DB-ADA6-844E-907A-3843E012B57E}">
      <text>
        <t>[Threaded comment]
Your version of Excel allows you to read this threaded comment; however, any edits to it will get removed if the file is opened in a newer version of Excel. Learn more: https://go.microsoft.com/fwlink/?linkid=870924
Comment:
    N’autoriser que les n° de tel (PHNADD) et mettre la regex du n° de tel de l’interface : REGEX: tel:([#\+\*]|37000|00+)?[0-9]{2,15} ?
Reply:
    @Daphné LECCIA (EXT) @Romain FOUILLAND : Philippe souhaite ici remettre la nomenclature EMSI complète correspondante (point 15-15 du 220124). Je reprends l'objet dans le 15-15.
Reply:
    OK pas de souci, qui peut le plus peut le moins</t>
      </text>
    </comment>
    <comment ref="H85" authorId="47" shapeId="0" xr:uid="{50663E24-E8B2-4610-BB55-CDEDCB0AEBE2}">
      <text>
        <t>[Threaded comment]
Your version of Excel allows you to read this threaded comment; however, any edits to it will get removed if the file is opened in a newer version of Excel. Learn more: https://go.microsoft.com/fwlink/?linkid=870924
Comment:
    Pour aller au bout de la logique, le passer en objet CONTACT</t>
      </text>
    </comment>
    <comment ref="Q85" authorId="48" shapeId="0" xr:uid="{449D854F-D1BC-4874-A270-C7FBD5C53315}">
      <text>
        <t>[Threaded comment]
Your version of Excel allows you to read this threaded comment; however, any edits to it will get removed if the file is opened in a newer version of Excel. Learn more: https://go.microsoft.com/fwlink/?linkid=870924
Comment:
    A priori un seul appelant à l'origine mais potentiellement plusieurs données de contact en retour ?
Reply:
    Passer à 0..n
Reply:
    @Romain FOUILLAND @Daphné LECCIA (EXT) : pourquoi ce n'est pas le contact de contre appel qui est obligatoire ici ?
Reply:
    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
Reply:
    Côté SAMU le contact requérant = contact de contre appel (sauf si précisé autrement). Il faut savoir qui rappeler en fait.
Peut être qu'il faut le préciser : on met le contact de contre appel seulement s'il est différent du numéro de l'appelant ? 
Reply:
    &gt; on met le contact de contre appel seulement s'il est différent du numéro de l'appelant ? 
Oui c'est ça la logique</t>
      </text>
    </comment>
    <comment ref="H86" authorId="49" shapeId="0" xr:uid="{D22EB006-FD31-4905-A0BA-E809AB322C44}">
      <text>
        <t>[Threaded comment]
Your version of Excel allows you to read this threaded comment; however, any edits to it will get removed if the file is opened in a newer version of Excel. Learn more: https://go.microsoft.com/fwlink/?linkid=870924
Comment:
    Demander en annexe côté NexSIS si ils mettent une nomenclature
Reply:
    =&gt; Utiliser le référentiel SI-SAMU pour les langues
Reply:
    =&gt; Plutôt ISO finalement</t>
      </text>
    </comment>
    <comment ref="U87" authorId="50" shapeId="0" xr:uid="{EC4CA26B-FA56-44B7-9485-D7650DC1B372}">
      <text>
        <t>[Threaded comment]
Your version of Excel allows you to read this threaded comment; however, any edits to it will get removed if the file is opened in a newer version of Excel. Learn more: https://go.microsoft.com/fwlink/?linkid=870924
Comment:
    NOMENCLATURE: TYPAPPLT_v1r01a.csv</t>
      </text>
    </comment>
    <comment ref="U88" authorId="51" shapeId="0" xr:uid="{0EC36618-96EE-478D-81B9-54F0CAEE9F88}">
      <text>
        <t>[Threaded comment]
Your version of Excel allows you to read this threaded comment; however, any edits to it will get removed if the file is opened in a newer version of Excel. Learn more: https://go.microsoft.com/fwlink/?linkid=870924
Comment:
    NOMENCLATURE: PBAPL_v1r01a.csv</t>
      </text>
    </comment>
    <comment ref="D89" authorId="52" shapeId="0" xr:uid="{0700921D-3E22-E44A-B10A-66139D58EFD3}">
      <text>
        <t>[Threaded comment]
Your version of Excel allows you to read this threaded comment; however, any edits to it will get removed if the file is opened in a newer version of Excel. Learn more: https://go.microsoft.com/fwlink/?linkid=870924
Comment:
    Inetum a une codification ! Pas possible de faire concordance sur du texte libre… Avoir une nomenclature + libre ?
Reply:
    Ici j'ai besoin de séparer 
Difficulté de communication (malentendant par ex) / Type de requérant (le patient) 
+ il va y avoir des nomenclatures côté SAMU je pense. </t>
      </text>
    </comment>
    <comment ref="E89" authorId="53" shapeId="0" xr:uid="{8B70DA13-018B-4BE7-9D85-CAD41DEDE16B}">
      <text>
        <t>[Threaded comment]
Your version of Excel allows you to read this threaded comment; however, any edits to it will get removed if the file is opened in a newer version of Excel. Learn more: https://go.microsoft.com/fwlink/?linkid=870924
Comment:
    Avoir une nomenclature ?
Reply:
    Champs libre côté NexSIS
Reply:
    Proposer une nomenclature / de passer des codes et si pas matchés -&gt; afficher le texte libre
Liste de string ?
Reply:
    https://ansforge.github.io/SAMU-interface-LRM/DST%20SI%20SAMU%20Interfa%C3%A7age%20LRM_V1.2.pdf
Reply:
    =&gt; OK pour une approche “nomenclature libre”</t>
      </text>
    </comment>
    <comment ref="J89" authorId="54" shapeId="0" xr:uid="{3343E777-8CBA-824D-A290-B18AD61B9129}">
      <text>
        <t>[Threaded comment]
Your version of Excel allows you to read this threaded comment; however, any edits to it will get removed if the file is opened in a newer version of Excel. Learn more: https://go.microsoft.com/fwlink/?linkid=870924
Comment:
    freetext ?</t>
      </text>
    </comment>
    <comment ref="E90" authorId="55" shapeId="0" xr:uid="{456C6261-46FE-47A3-ABE3-21780523066A}">
      <text>
        <t>[Threaded comment]
Your version of Excel allows you to read this threaded comment; however, any edits to it will get removed if the file is opened in a newer version of Excel. Learn more: https://go.microsoft.com/fwlink/?linkid=870924
Comment:
    Réfléchir à une structure récursive / détaillée également
Reply:
    callerName 
- complete (basé sur un template {firstName} {lastName})
- firstName
- lastName
Reply:
    Complete ? Aggregated ? Full ? 
-&gt; Nader regarde si le SitRep propose des trucs comme ça
Reply:
    Ok de le présenter comme ça sur le 4 juillet, on avisera ensuite en fonction du SItrep</t>
      </text>
    </comment>
    <comment ref="E93" authorId="56" shapeId="0" xr:uid="{F862C684-B65A-4FC1-AEC4-870221995080}">
      <text>
        <t>[Threaded comment]
Your version of Excel allows you to read this threaded comment; however, any edits to it will get removed if the file is opened in a newer version of Excel. Learn more: https://go.microsoft.com/fwlink/?linkid=870924
Comment:
    Règle sur les prénoms pour les prénoms composés
Reply:
    De quelle règle parle-t-on ? 
Et pour les noms composés pas de règle ?
Reply:
    Pas de règle a date justement pour les prénoms composés =&gt; libre</t>
      </text>
    </comment>
    <comment ref="F93" authorId="57" shapeId="0" xr:uid="{6EB96170-F11A-4E55-BFF9-911EA46C448F}">
      <text>
        <t>[Threaded comment]
Your version of Excel allows you to read this threaded comment; however, any edits to it will get removed if the file is opened in a newer version of Excel. Learn more: https://go.microsoft.com/fwlink/?linkid=870924
Comment:
    Pas possible de séparer dans l'interface. 
NexSIS regarde si la PFLAU envoie les 2 ensemble</t>
      </text>
    </comment>
    <comment ref="H96" authorId="58" shapeId="0" xr:uid="{FB8B17FD-812B-4D45-91E1-3C0557FCEA2D}">
      <text>
        <t xml:space="preserve">[Threaded comment]
Your version of Excel allows you to read this threaded comment; however, any edits to it will get removed if the file is opened in a newer version of Excel. Learn more: https://go.microsoft.com/fwlink/?linkid=870924
Comment:
    On peut donc avoir des nomenclatures EMSI dans un message RC-EDA ?
</t>
      </text>
    </comment>
    <comment ref="C98" authorId="59" shapeId="0" xr:uid="{F9DFBDFD-1215-9341-9E1E-3024F293D141}">
      <text>
        <t>[Threaded comment]
Your version of Excel allows you to read this threaded comment; however, any edits to it will get removed if the file is opened in a newer version of Excel. Learn more: https://go.microsoft.com/fwlink/?linkid=870924
Comment:
    Localisation de l’appelant ? Ou d’intervention ?
Reply:
    Plutôt lieu ou se trouve l'appelant car lieu d'affaire renseigné en haut</t>
      </text>
    </comment>
    <comment ref="D98" authorId="60" shapeId="0" xr:uid="{A3B7AE35-2849-4423-8AE8-6B9911E6561D}">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98" authorId="61" shapeId="0" xr:uid="{902D6982-CF5B-4CB7-B9F4-E53F0BDFA27A}">
      <text>
        <t>[Threaded comment]
Your version of Excel allows you to read this threaded comment; however, any edits to it will get removed if the file is opened in a newer version of Excel. Learn more: https://go.microsoft.com/fwlink/?linkid=870924
Comment:
    Obligatoire du coup vu qu'on a une location dans l'affaire ?</t>
      </text>
    </comment>
    <comment ref="Q99" authorId="62" shapeId="0" xr:uid="{CC5C1D76-D97F-4BE5-B966-DD495B85204C}">
      <text>
        <t>[Threaded comment]
Your version of Excel allows you to read this threaded comment; however, any edits to it will get removed if the file is opened in a newer version of Excel. Learn more: https://go.microsoft.com/fwlink/?linkid=870924
Comment:
    Retour de Philippe : peut-on le passer en optionnel, ce qui n'oblige pas les SAMU à répéter la qualification à chaque fois ?</t>
      </text>
    </comment>
    <comment ref="D101" authorId="63" shapeId="0" xr:uid="{663EEC70-25D1-4531-8E3C-8B803A28B6D5}">
      <text>
        <t>[Threaded comment]
Your version of Excel allows you to read this threaded comment; however, any edits to it will get removed if the file is opened in a newer version of Excel. Learn more: https://go.microsoft.com/fwlink/?linkid=870924
Comment:
    Un concept emprunté au ROR est intéressant et transposable ici, parler d'unité de service pour décrire la plus petite maille</t>
      </text>
    </comment>
    <comment ref="E101" authorId="64" shapeId="0" xr:uid="{3BA75720-6FD7-4770-B19D-58D93FFDC9E8}">
      <text>
        <t>[Threaded comment]
Your version of Excel allows you to read this threaded comment; however, any edits to it will get removed if the file is opened in a newer version of Excel. Learn more: https://go.microsoft.com/fwlink/?linkid=870924
Comment:
    Nomenclature sur ça ?
Reply:
    Juste réfléchir aux valeurs possibles : SDIS, SAMU, ... ?
Et les départements FRXXX en centre ?</t>
      </text>
    </comment>
    <comment ref="D103" authorId="65" shapeId="0" xr:uid="{985CB9E8-D6A2-4815-BC2C-DD825BD96FAA}">
      <text>
        <t>[Threaded comment]
Your version of Excel allows you to read this threaded comment; however, any edits to it will get removed if the file is opened in a newer version of Excel. Learn more: https://go.microsoft.com/fwlink/?linkid=870924
Comment:
    Faire une nomenclature avec des valeurs comme : "ARM", "DISPATCHER", "MEDECIN REGULATEUR" etc 
Le CISU le prévois-t-il ? Optionnel à nouveau à mon avis</t>
      </text>
    </comment>
    <comment ref="T103" authorId="66" shapeId="0" xr:uid="{32F7371F-532E-4483-BA02-85ED2898A502}">
      <text>
        <t>[Threaded comment]
Your version of Excel allows you to read this threaded comment; however, any edits to it will get removed if the file is opened in a newer version of Excel. Learn more: https://go.microsoft.com/fwlink/?linkid=870924
Comment:
    je retire la croix tant que la nomenclature n'existe pas</t>
      </text>
    </comment>
    <comment ref="U103" authorId="67" shapeId="0" xr:uid="{17677DF8-67EB-4AE7-861C-BE96B97E6CBC}">
      <text>
        <t>[Threaded comment]
Your version of Excel allows you to read this threaded comment; however, any edits to it will get removed if the file is opened in a newer version of Excel. Learn more: https://go.microsoft.com/fwlink/?linkid=870924
Comment:
    NOMENCLATURE: PERSO (nomenclature SI-SAMU)</t>
      </text>
    </comment>
    <comment ref="H104" authorId="68" shapeId="0" xr:uid="{7A1ACB5D-9506-421C-B92B-1CBD98910C4E}">
      <text>
        <t>[Threaded comment]
Your version of Excel allows you to read this threaded comment; however, any edits to it will get removed if the file is opened in a newer version of Excel. Learn more: https://go.microsoft.com/fwlink/?linkid=870924
Comment:
    Aligner en mode URI
Reply:
    Pour aller au bout de la logique, le passer en objet CONTACT
Reply:
    Mettre attachement</t>
      </text>
    </comment>
    <comment ref="T107" authorId="69" shapeId="0" xr:uid="{07B5D5D0-B502-47B6-A891-DAEF39BCC4D8}">
      <text>
        <t>[Threaded comment]
Your version of Excel allows you to read this threaded comment; however, any edits to it will get removed if the file is opened in a newer version of Excel. Learn more: https://go.microsoft.com/fwlink/?linkid=870924
Comment:
    Impose-t-on une liste de type de ressource ou est-ce laissé libre pour les éditeurs ?</t>
      </text>
    </comment>
    <comment ref="U107" authorId="70" shapeId="0" xr:uid="{8BCB09BF-A48C-8242-B3C8-18F71F97C7AD}">
      <text>
        <t xml:space="preserve">[Threaded comment]
Your version of Excel allows you to read this threaded comment; however, any edits to it will get removed if the file is opened in a newer version of Excel. Learn more: https://go.microsoft.com/fwlink/?linkid=870924
Comment:
    Impose-t-on une liste de type de ressource ou est-ce laissé libre pour les éditeurs ?
</t>
      </text>
    </comment>
    <comment ref="D112" authorId="71" shapeId="0" xr:uid="{F7E40DD6-D14F-4AC4-95ED-C43838656AE4}">
      <text>
        <t>[Threaded comment]
Your version of Excel allows you to read this threaded comment; however, any edits to it will get removed if the file is opened in a newer version of Excel. Learn more: https://go.microsoft.com/fwlink/?linkid=870924
Comment:
    Indiquer comment on fait le Hash =&gt; pas évident comme on fait le contrôle d'intégrité
Reply:
    Sha-256</t>
      </text>
    </comment>
    <comment ref="U113" authorId="72" shapeId="0" xr:uid="{3A4DE914-B324-41EC-B1CE-789615C59923}">
      <text>
        <t>[Threaded comment]
Your version of Excel allows you to read this threaded comment; however, any edits to it will get removed if the file is opened in a newer version of Excel. Learn more: https://go.microsoft.com/fwlink/?linkid=870924
Comment:
    Implémenter ici la liste des valeurs fr.health.samu possible.</t>
      </text>
    </comment>
    <comment ref="B114" authorId="73" shapeId="0" xr:uid="{A9F8EF48-108A-4EAB-A6C9-DAA6E6A1C56C}">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B118" authorId="74" shapeId="0" xr:uid="{E40A2F45-E340-487F-9FD6-2404E4F5A700}">
      <text>
        <t>[Threaded comment]
Your version of Excel allows you to read this threaded comment; however, any edits to it will get removed if the file is opened in a newer version of Excel. Learn more: https://go.microsoft.com/fwlink/?linkid=870924
Comment:
    A renvoyer dans le SGV
Reply:
    On va sortir ça dans un message séparé : ça impacte mes cinématiques sur tout ce qui est déjà publié, donc j'attends qu'on arbitre le 26 sur les mises à jour pour le faire.</t>
      </text>
    </comment>
    <comment ref="C118" authorId="75" shapeId="0" xr:uid="{9EEB9362-90F5-494F-BB71-06EF0D54376B}">
      <text>
        <t>[Threaded comment]
Your version of Excel allows you to read this threaded comment; however, any edits to it will get removed if the file is opened in a newer version of Excel. Learn more: https://go.microsoft.com/fwlink/?linkid=870924
Comment:
    Est-ce qu'il faut un objet Bilan qui incorpore les patients/victime ?
Reply:
    Il faudra à terme pouvoir faire le lien avec SGV
Reply:
    Le bilan se fait-il pour chaque patient/victime ? Si oui, le bilan est lié au patient</t>
      </text>
    </comment>
    <comment ref="U122" authorId="76" shapeId="0" xr:uid="{CB950F1D-7F07-43E1-850B-913CBE20F585}">
      <text>
        <t>[Threaded comment]
Your version of Excel allows you to read this threaded comment; however, any edits to it will get removed if the file is opened in a newer version of Excel. Learn more: https://go.microsoft.com/fwlink/?linkid=870924
Comment:
    ENUM ?</t>
      </text>
    </comment>
    <comment ref="H124" authorId="77" shapeId="0" xr:uid="{258F99A5-CCAC-44B3-9CB2-E5E5FB7A031F}">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124" authorId="78" shapeId="0" xr:uid="{B13CB5B2-E438-4033-8E1A-8B428C2D7B3E}">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U124" authorId="79" shapeId="0" xr:uid="{10CBED9B-33B3-4F2D-9D08-CE6F15806504}">
      <text>
        <t>[Threaded comment]
Your version of Excel allows you to read this threaded comment; however, any edits to it will get removed if the file is opened in a newer version of Excel. Learn more: https://go.microsoft.com/fwlink/?linkid=870924
Comment:
    Remettre la nomenclature EMSI complète dans l'objet contact qu'on réutilise ici</t>
      </text>
    </comment>
    <comment ref="U130" authorId="80" shapeId="0" xr:uid="{47F99561-A768-4B9A-96FB-A8753B229875}">
      <text>
        <t>[Threaded comment]
Your version of Excel allows you to read this threaded comment; however, any edits to it will get removed if the file is opened in a newer version of Excel. Learn more: https://go.microsoft.com/fwlink/?linkid=870924
Comment:
    vérifier le format du numéro RPPS seulement, ne pas implémenter la nomenclature complète</t>
      </text>
    </comment>
    <comment ref="H132" authorId="81" shapeId="0" xr:uid="{647A8527-7AF1-45AA-BB58-53C964C0E6F0}">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132" authorId="82" shapeId="0" xr:uid="{396E04AD-6D8D-4E1E-B5C4-258495B5CC68}">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E137" authorId="83" shapeId="0" xr:uid="{77A30A6E-6F60-4789-9958-ADBE4F439BC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38" authorId="84" shapeId="0" xr:uid="{6EC09424-5F98-496B-990E-8CF5FDCC07B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U138" authorId="85" shapeId="0" xr:uid="{63885E42-5898-4ECF-8108-E0BD8B826BE8}">
      <text>
        <t>[Threaded comment]
Your version of Excel allows you to read this threaded comment; however, any edits to it will get removed if the file is opened in a newer version of Excel. Learn more: https://go.microsoft.com/fwlink/?linkid=870924
Comment:
    Vérifier uniquement le format du matricule INS : 13 caractères alphanumériques + une clé sur 2 chiffres</t>
      </text>
    </comment>
    <comment ref="E139" authorId="86" shapeId="0" xr:uid="{613FDD7D-6678-49E2-A875-920DF61A60C0}">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U139" authorId="87" shapeId="0" xr:uid="{B64AB07A-CA5D-41C4-905E-0AFD3F67254F}">
      <text>
        <t>[Threaded comment]
Your version of Excel allows you to read this threaded comment; however, any edits to it will get removed if the file is opened in a newer version of Excel. Learn more: https://go.microsoft.com/fwlink/?linkid=870924
Comment:
    Voir pour implémenter une énum, ou une simple vérification de format</t>
      </text>
    </comment>
    <comment ref="D140" authorId="88" shapeId="0" xr:uid="{5843E32E-6B77-4462-B8C9-614463109AB3}">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U144" authorId="89" shapeId="0" xr:uid="{24B071A5-FE22-46B3-B0AC-65924FDC1BDF}">
      <text>
        <t>[Threaded comment]
Your version of Excel allows you to read this threaded comment; however, any edits to it will get removed if the file is opened in a newer version of Excel. Learn more: https://go.microsoft.com/fwlink/?linkid=870924
Comment:
    @Romain FOUILLAND Mettre un format date uniquement ici
Reply:
    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
Reply:
    ok</t>
      </text>
    </comment>
    <comment ref="U145" authorId="90" shapeId="0" xr:uid="{014DE198-64E2-4507-A3FC-DF421F511779}">
      <text>
        <t>[Threaded comment]
Your version of Excel allows you to read this threaded comment; however, any edits to it will get removed if the file is opened in a newer version of Excel. Learn more: https://go.microsoft.com/fwlink/?linkid=870924
Comment:
    Implémenter la nomenclature CISU (cf. Fichier transmis par Philippe)</t>
      </text>
    </comment>
    <comment ref="E146" authorId="91" shapeId="0" xr:uid="{4D4D3CF8-E01B-401A-8386-AAC604D8291A}">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U146" authorId="92" shapeId="0" xr:uid="{BA91A5D4-B745-43C1-AD05-F9E9B9B84277}">
      <text>
        <t>[Threaded comment]
Your version of Excel allows you to read this threaded comment; however, any edits to it will get removed if the file is opened in a newer version of Excel. Learn more: https://go.microsoft.com/fwlink/?linkid=870924
Comment:
    Trouver le format du code INSEE, et mettre une simple vérification</t>
      </text>
    </comment>
    <comment ref="C148" authorId="93" shapeId="0" xr:uid="{4EB3C325-52F0-4D01-94D2-8AA5841A689A}">
      <text>
        <t xml:space="preserve">[Threaded comment]
Your version of Excel allows you to read this threaded comment; however, any edits to it will get removed if the file is opened in a newer version of Excel. Learn more: https://go.microsoft.com/fwlink/?linkid=870924
Comment:
    Attention le motif de recours médico-secouriste est lié au patient pour les échanges 15-15 et peut être différent selon chaque patient. A mettre de préférence dans la partie patient ? 
Comment est-ce déterminé en l'absence de patient ? </t>
      </text>
    </comment>
    <comment ref="U148" authorId="94" shapeId="0" xr:uid="{FFA7F0E1-3845-469A-B7CF-A4621D3089F0}">
      <text>
        <t>[Threaded comment]
Your version of Excel allows you to read this threaded comment; however, any edits to it will get removed if the file is opened in a newer version of Excel. Learn more: https://go.microsoft.com/fwlink/?linkid=870924
Comment:
    Idem nomenclature 15-18 car exactement le même objet</t>
      </text>
    </comment>
    <comment ref="D150" authorId="95" shapeId="0" xr:uid="{C395B7C5-0539-4FBB-9D43-E0A24F8519C0}">
      <text>
        <t xml:space="preserve">[Threaded comment]
Your version of Excel allows you to read this threaded comment; however, any edits to it will get removed if the file is opened in a newer version of Excel. Learn more: https://go.microsoft.com/fwlink/?linkid=870924
Comment:
    Commentaire Romain : 
Couper en 2 avec valeur et unité ? Pareil pour le poids ? 
cf call Exos https://airtable.com/app4TOvXxTUD2wSGu/tblb99gQYhSR4hEUc/viw61jqO5bITasxJ5/rech3TqTCjQdVKfhx?blocks=hide 
</t>
      </text>
    </comment>
    <comment ref="E152" authorId="96" shapeId="0" xr:uid="{790794B9-B934-4B4C-A8C0-8C9B2176B829}">
      <text>
        <t>[Threaded comment]
Your version of Excel allows you to read this threaded comment; however, any edits to it will get removed if the file is opened in a newer version of Excel. Learn more: https://go.microsoft.com/fwlink/?linkid=870924
Comment:
    Couper en 2 avec valeur et unité ? Pareil pour le poids ? 
cf call Exos https://airtable.com/app4TOvXxTUD2wSGu/tblb99gQYhSR4hEUc/viw61jqO5bITasxJ5/rech3TqTCjQdVKfhx?blocks=hide 
Reply:
    Possible de reprendre une logique homogène EMSI avec la logique de rentrer des grandeurs via 2 champs :
- quantity i.e. quantité
- um i.e. unité de mesure</t>
      </text>
    </comment>
    <comment ref="U153" authorId="97" shapeId="0" xr:uid="{2D9ECE82-3D73-4587-8C50-69F305FE6D3A}">
      <text>
        <t>[Threaded comment]
Your version of Excel allows you to read this threaded comment; however, any edits to it will get removed if the file is opened in a newer version of Excel. Learn more: https://go.microsoft.com/fwlink/?linkid=870924
Comment:
    NOMENCLATURE: GRAVITE_SF21.csv</t>
      </text>
    </comment>
    <comment ref="U155" authorId="98" shapeId="0" xr:uid="{000D1EF5-EA8D-4028-887E-09B730402CB5}">
      <text>
        <t>[Threaded comment]
Your version of Excel allows you to read this threaded comment; however, any edits to it will get removed if the file is opened in a newer version of Excel. Learn more: https://go.microsoft.com/fwlink/?linkid=870924
Comment:
    CIM11 : récupérer le format des codes, et ne vérifier que le format</t>
      </text>
    </comment>
    <comment ref="Q156" authorId="99" shapeId="0" xr:uid="{B2A46742-7986-49EC-BFF2-E5B137820840}">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U156" authorId="100" shapeId="0" xr:uid="{55DD76D7-71AA-4415-B5EF-4C960C6C5F04}">
      <text>
        <t>[Threaded comment]
Your version of Excel allows you to read this threaded comment; however, any edits to it will get removed if the file is opened in a newer version of Excel. Learn more: https://go.microsoft.com/fwlink/?linkid=870924
Comment:
    CIM11 : récupérer le format des codes, et ne vérifier que le format</t>
      </text>
    </comment>
    <comment ref="C157" authorId="101" shapeId="0" xr:uid="{DC749AE9-4EDB-4A7F-8A7B-0D009E03AED0}">
      <text>
        <t xml:space="preserve">[Threaded comment]
Your version of Excel allows you to read this threaded comment; however, any edits to it will get removed if the file is opened in a newer version of Excel. Learn more: https://go.microsoft.com/fwlink/?linkid=870924
Comment:
    Quelle nomenclature  + est-ce un objet code + libellé ? </t>
      </text>
    </comment>
    <comment ref="U157" authorId="102" shapeId="0" xr:uid="{522C021E-FCFD-4A22-8243-F9B9E8F1567F}">
      <text>
        <t>[Threaded comment]
Your version of Excel allows you to read this threaded comment; however, any edits to it will get removed if the file is opened in a newer version of Excel. Learn more: https://go.microsoft.com/fwlink/?linkid=870924
Comment:
    CIM11 : récupérer le format des codes, et ne vérifier que le format</t>
      </text>
    </comment>
    <comment ref="D160" authorId="103" shapeId="0" xr:uid="{A01A1601-D876-42A1-B7E1-CAFC7CAE43BD}">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B166" authorId="104" shapeId="0" xr:uid="{6542F462-2A54-48A5-9A62-7E7CFBDF2B9A}">
      <text>
        <t>[Threaded comment]
Your version of Excel allows you to read this threaded comment; however, any edits to it will get removed if the file is opened in a newer version of Excel. Learn more: https://go.microsoft.com/fwlink/?linkid=870924
Comment:
    A envoyer au SGV (qui fait le lien vers la tablette du SIS)
Reply:
    Le véhicule en partant vers la destination, crée une mission fille dans le SGO 
Reply:
    Faut-il un ID technique par décision prise?</t>
      </text>
    </comment>
    <comment ref="U169" authorId="105" shapeId="0" xr:uid="{4DB9FC1B-FE92-4AA7-B2F3-BFF17D976413}">
      <text>
        <t>[Threaded comment]
Your version of Excel allows you to read this threaded comment; however, any edits to it will get removed if the file is opened in a newer version of Excel. Learn more: https://go.microsoft.com/fwlink/?linkid=870924
Comment:
    Implémenter nomenclature SI-SAMU : type_dec</t>
      </text>
    </comment>
    <comment ref="C170" authorId="106" shapeId="0" xr:uid="{DFEBA3BC-8166-4F9F-A129-402A4AB175F7}">
      <text>
        <t>[Threaded comment]
Your version of Excel allows you to read this threaded comment; however, any edits to it will get removed if the file is opened in a newer version of Excel. Learn more: https://go.microsoft.com/fwlink/?linkid=870924
Comment:
    Y'a-t-il une nomenclature derrière ? Sinon mettre plutôt du freetext</t>
      </text>
    </comment>
    <comment ref="U170" authorId="107" shapeId="0" xr:uid="{04411F78-544D-4A29-9486-C852BE16B4A1}">
      <text>
        <t>[Threaded comment]
Your version of Excel allows you to read this threaded comment; however, any edits to it will get removed if the file is opened in a newer version of Excel. Learn more: https://go.microsoft.com/fwlink/?linkid=870924
Comment:
    A revoir</t>
      </text>
    </comment>
    <comment ref="C171" authorId="108" shapeId="0" xr:uid="{D34D40C8-9930-4697-941A-5B0307605F2D}">
      <text>
        <t>[Threaded comment]
Your version of Excel allows you to read this threaded comment; however, any edits to it will get removed if the file is opened in a newer version of Excel. Learn more: https://go.microsoft.com/fwlink/?linkid=870924
Comment:
    Mettre plutôt un type ressource cf. EMSI
Reply:
    Pour le SIS : le médecin ne décide pas du vecteur qui s'occupe du transport - on peut bien indiquer les conditions de transport (secouriste, médicale, etc.)
Reply:
    Ici il s'agit plutôt soit de pouvoir mettre un lien vers l'ID du vecteur engagé si c'est une ressource interne soit d'indiquer un type de vecteur (ex: SMUR).
Reply:
    A revoir avec Philippe, ce n'est pas arrêté.
Reply:
    Sachant que c'est le médecin qui décide quel type de vecteur envoyer dans sa décision.</t>
      </text>
    </comment>
    <comment ref="K171" authorId="109" shapeId="0" xr:uid="{67DC72F8-6B7D-47A0-BEBA-53124836E50B}">
      <text>
        <t>[Threaded comment]
Your version of Excel allows you to read this threaded comment; however, any edits to it will get removed if the file is opened in a newer version of Excel. Learn more: https://go.microsoft.com/fwlink/?linkid=870924
Comment:
    Il faut que ce soit idem EMSI ?</t>
      </text>
    </comment>
    <comment ref="U171" authorId="110" shapeId="0" xr:uid="{F5B47079-EDF2-4F5B-8F3A-6F444147F2DD}">
      <text>
        <t>[Threaded comment]
Your version of Excel allows you to read this threaded comment; however, any edits to it will get removed if the file is opened in a newer version of Excel. Learn more: https://go.microsoft.com/fwlink/?linkid=870924
Comment:
    A revoir</t>
      </text>
    </comment>
    <comment ref="K173" authorId="111" shapeId="0" xr:uid="{6729E6ED-B0CD-41F4-BDE9-63A71C3B0080}">
      <text>
        <t>[Threaded comment]
Your version of Excel allows you to read this threaded comment; however, any edits to it will get removed if the file is opened in a newer version of Excel. Learn more: https://go.microsoft.com/fwlink/?linkid=870924
Comment:
    Il faut que ce soit idem EMSI ?</t>
      </text>
    </comment>
    <comment ref="C174" authorId="112" shapeId="0" xr:uid="{94CB63FF-3915-49D6-9867-9F61128C5ACD}">
      <text>
        <t xml:space="preserve">[Threaded comment]
Your version of Excel allows you to read this threaded comment; however, any edits to it will get removed if the file is opened in a newer version of Excel. Learn more: https://go.microsoft.com/fwlink/?linkid=870924
Comment:
    Définir la nomenclature
Reply:
    Pas la même signification, que le "niveau de soins" d'engagement du vecteur. 
Reply:
    Dans le vecteur de transport : niveau de médicalisation du transport
Reply:
    Pas de nomenclature
Reply:
    Niveau de prise en charge au lieu de médicalisation (si médicalisation, on implique qu'un médecin est déjà engagé)
Reply:
    A revoir avec Philippe : on est dans la régulation médicale, donc il y a bien un médecin qui a pris une décision.
Le niveau médical de l'équipe engagée en revanche peut être différent
Reply:
    + il y a certains samu qui considère que le type de vecteur demandé = quel type d'équipe doit être dedans
</t>
      </text>
    </comment>
    <comment ref="C175" authorId="113" shapeId="0" xr:uid="{418F6048-D82E-4151-A527-DD3375E32EDF}">
      <text>
        <t>[Threaded comment]
Your version of Excel allows you to read this threaded comment; however, any edits to it will get removed if the file is opened in a newer version of Excel. Learn more: https://go.microsoft.com/fwlink/?linkid=870924
Comment:
    Reprendre un objet position du modèle adresse EMSI ?
Reply:
    Typer la destination : domicile, hôpital, établissement X, etc.
Reply:
    Idem, en cours avec Philippe
Reply:
    Mettre un objet identique à l'adresse de localisation. Pour pouvoir amener les personnes à n'importe quel endroit (y compris à domicile).
+ ajouter un champ FINESS ?</t>
      </text>
    </comment>
    <comment ref="D176" authorId="114" shapeId="0" xr:uid="{B2E36609-985A-480B-9D00-3FA79278887B}">
      <text>
        <t>[Threaded comment]
Your version of Excel allows you to read this threaded comment; however, any edits to it will get removed if the file is opened in a newer version of Excel. Learn more: https://go.microsoft.com/fwlink/?linkid=870924
Comment:
    Ajouté suite au retour de Philippe</t>
      </text>
    </comment>
    <comment ref="C178" authorId="115" shapeId="0" xr:uid="{3E4494E4-4D0B-482E-8C44-6CA902FCAA01}">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178" authorId="116" shapeId="0" xr:uid="{12397E16-0DD2-4B81-8BEC-31510D881B5D}">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Q180" authorId="117" shapeId="0" xr:uid="{56075946-9C3F-8345-89AE-75C567E0E491}">
      <text>
        <t>[Threaded comment]
Your version of Excel allows you to read this threaded comment; however, any edits to it will get removed if the file is opened in a newer version of Excel. Learn more: https://go.microsoft.com/fwlink/?linkid=870924
Comment:
    Bien 0..3</t>
      </text>
    </comment>
    <comment ref="A185" authorId="118" shapeId="0" xr:uid="{D6BBFD18-B7C3-44E9-AAAF-C0520A0384D3}">
      <text>
        <t>[Threaded comment]
Your version of Excel allows you to read this threaded comment; however, any edits to it will get removed if the file is opened in a newer version of Excel. Learn more: https://go.microsoft.com/fwlink/?linkid=870924
Comment:
    doublon avec l'ID 5. Pourquoi ne pas avoir une donnée (niveau 2) "Informations supplémentaires" en freetext ?</t>
      </text>
    </comment>
    <comment ref="B185" authorId="119" shapeId="0" xr:uid="{35A8B61A-91A9-4016-9958-8C97F591EBB5}">
      <text>
        <t xml:space="preserve">[Threaded comment]
Your version of Excel allows you to read this threaded comment; however, any edits to it will get removed if the file is opened in a newer version of Excel. Learn more: https://go.microsoft.com/fwlink/?linkid=870924
Comment:
    + partout où il est écrit affaire, mettre dossier/affaire pour inclure le périmètre 15-15 ? 
Ici : Description dossier/affaire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tc={01361339-10D3-48AC-A489-2044EDD6D1C5}</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C102" authorId="2" shapeId="0" xr:uid="{01361339-10D3-48AC-A489-2044EDD6D1C5}">
      <text>
        <t>[Threaded comment]
Your version of Excel allows you to read this threaded comment; however, any edits to it will get removed if the file is opened in a newer version of Excel. Learn more: https://go.microsoft.com/fwlink/?linkid=870924
Comment:
    Le type de vecteur (ex. VLM, AR, VSAV, etc.) est indiqué dans le nom</t>
      </text>
    </comment>
    <comment ref="D109" authorId="3" shapeId="0" xr:uid="{AB49911A-A88C-4305-8864-F8D825349337}">
      <text>
        <t>[Threaded comment]
Your version of Excel allows you to read this threaded comment; however, any edits to it will get removed if the file is opened in a newer version of Excel. Learn more: https://go.microsoft.com/fwlink/?linkid=870924
Comment:
    Quand un objet est déjà défini plus haut (dans mission là), il ne faut pas le redéfinir plus bas sinon ça fait planter le parser. Est-ce que c'est possible de supprimer les lignes 112 à 121 ou elles contiennent des éléments / définitions importantes ?
Reply:
    L'objet position est partagé entre RGEO, EGEO et MISSION et il faudrait  ne définir ses champs enfants qu'une seule fois (sous la ligne la plus haute)
Reply:
    Comme pour l'objet qualification dans le RC-EDA</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tc={9AAA5787-EEB2-4F34-B9FC-ACEEB598338A}</author>
    <author>tc={2CBF1497-5853-4802-BF2B-FC06E91F8D75}</author>
  </authors>
  <commentList>
    <comment ref="B17" authorId="0" shapeId="0" xr:uid="{9AAA5787-EEB2-4F34-B9FC-ACEEB598338A}">
      <text>
        <t>[Threaded comment]
Your version of Excel allows you to read this threaded comment; however, any edits to it will get removed if the file is opened in a newer version of Excel. Learn more: https://go.microsoft.com/fwlink/?linkid=870924
Comment:
    Le retour de l'identité du bilan, permet de confirmer les informations identitaires du patient</t>
      </text>
    </comment>
    <comment ref="B29" authorId="1" shapeId="0" xr:uid="{2CBF1497-5853-4802-BF2B-FC06E91F8D75}">
      <text>
        <t>[Threaded comment]
Your version of Excel allows you to read this threaded comment; however, any edits to it will get removed if the file is opened in a newer version of Excel. Learn more: https://go.microsoft.com/fwlink/?linkid=870924
Comment:
    Est-ce que le SMUR a besoin de nous renvoyer le lieu d'intervention ? Est-il possible que celui-ci ne soit pas le même que celui transmis dans le dossier ?</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tc={0CE8A59F-6C67-4E3A-891B-3EA2B5782CF2}</author>
    <author>tc={AFBC43DC-22DD-45A7-94DB-0652D4386677}</author>
    <author>tc={E217C0E1-E310-4516-9319-75E49215DCA3}</author>
    <author>tc={CA9F7116-A69A-49A4-A9FD-112B11A9100E}</author>
    <author>tc={91C7B266-0E0A-4462-A600-2FC08026D2AA}</author>
    <author>tc={B49C2831-535E-4572-A161-4566AA17433A}</author>
  </authors>
  <commentList>
    <comment ref="C14" authorId="0" shapeId="0" xr:uid="{0CE8A59F-6C67-4E3A-891B-3EA2B5782CF2}">
      <text>
        <t>[Threaded comment]
Your version of Excel allows you to read this threaded comment; however, any edits to it will get removed if the file is opened in a newer version of Excel. Learn more: https://go.microsoft.com/fwlink/?linkid=870924
Comment:
    Type déduit par rapport à la localisation de l'intervention vs de la destination (ex. Si hospitalier alors sorite SMUR secondaire), et pour les TIH : idem plus niveau de médicalisation (=paramédical)</t>
      </text>
    </comment>
    <comment ref="D21" authorId="1" shapeId="0" xr:uid="{AFBC43DC-22DD-45A7-94DB-0652D4386677}">
      <text>
        <t>[Threaded comment]
Your version of Excel allows you to read this threaded comment; however, any edits to it will get removed if the file is opened in a newer version of Excel. Learn more: https://go.microsoft.com/fwlink/?linkid=870924
Comment:
    Quel libellé/code prendre ? 
Reply:
    Exemple : si accident routier entre un piéton et camion de marchandise, quel est le code à retenir ? AVPAR ? AVPARCAM ? AVPARPIE ? 
Reply:
    Ou est-ce à préciser dans le commentaire ?</t>
      </text>
    </comment>
    <comment ref="C30" authorId="2" shapeId="0" xr:uid="{E217C0E1-E310-4516-9319-75E49215DCA3}">
      <text>
        <t xml:space="preserve">[Threaded comment]
Your version of Excel allows you to read this threaded comment; however, any edits to it will get removed if the file is opened in a newer version of Excel. Learn more: https://go.microsoft.com/fwlink/?linkid=870924
Comment:
    Comment gérer le fait que la date de naissance n'est pas toujours connu, et que seul un âge est saisi ? </t>
      </text>
    </comment>
    <comment ref="C59" authorId="3" shapeId="0" xr:uid="{CA9F7116-A69A-49A4-A9FD-112B11A9100E}">
      <text>
        <t>[Threaded comment]
Your version of Excel allows you to read this threaded comment; however, any edits to it will get removed if the file is opened in a newer version of Excel. Learn more: https://go.microsoft.com/fwlink/?linkid=870924
Comment:
    Correspond également au motif de sans transport (soins sur place, refus de soins, refus de transport, décédé)</t>
      </text>
    </comment>
    <comment ref="H62" authorId="4" shapeId="0" xr:uid="{91C7B266-0E0A-4462-A600-2FC08026D2AA}">
      <text>
        <t>[Threaded comment]
Your version of Excel allows you to read this threaded comment; however, any edits to it will get removed if the file is opened in a newer version of Excel. Learn more: https://go.microsoft.com/fwlink/?linkid=870924
Comment:
    Pas de nomenclature dispo dans l'Excel partagé</t>
      </text>
    </comment>
    <comment ref="D68" authorId="5" shapeId="0" xr:uid="{B49C2831-535E-4572-A161-4566AA17433A}">
      <text>
        <t>[Threaded comment]
Your version of Excel allows you to read this threaded comment; however, any edits to it will get removed if the file is opened in a newer version of Excel. Learn more: https://go.microsoft.com/fwlink/?linkid=870924
Comment:
    Obligatoire si transport du patient vers une destination, facultatif si aucun transport</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tc={8EF2D3DC-4B1C-4B82-9096-95A1B9D01CEE}</author>
    <author>tc={C557B0E9-A149-4C10-B37C-C0E2C5D0EA9A}</author>
    <author>tc={9575B3B8-C341-4C80-87F7-09034563A054}</author>
  </authors>
  <commentList>
    <comment ref="B8" authorId="0" shapeId="0" xr:uid="{8EF2D3DC-4B1C-4B82-9096-95A1B9D01CEE}">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C19" authorId="1" shapeId="0" xr:uid="{C557B0E9-A149-4C10-B37C-C0E2C5D0EA9A}">
      <text>
        <t>[Threaded comment]
Your version of Excel allows you to read this threaded comment; however, any edits to it will get removed if the file is opened in a newer version of Excel. Learn more: https://go.microsoft.com/fwlink/?linkid=870924
Comment:
    Pour avoir la possibilité de ne pas transmettre la vitesse à certains organismes, regarder ce champ facultatif</t>
      </text>
    </comment>
    <comment ref="C21" authorId="2" shapeId="0" xr:uid="{9575B3B8-C341-4C80-87F7-09034563A054}">
      <text>
        <t>[Threaded comment]
Your version of Excel allows you to read this threaded comment; however, any edits to it will get removed if the file is opened in a newer version of Excel. Learn more: https://go.microsoft.com/fwlink/?linkid=870924
Comment:
    Facultatif si hélicoptère</t>
      </text>
    </comment>
  </commentList>
</comments>
</file>

<file path=xl/sharedStrings.xml><?xml version="1.0" encoding="utf-8"?>
<sst xmlns="http://schemas.openxmlformats.org/spreadsheetml/2006/main" count="8840" uniqueCount="2505">
  <si>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</si>
  <si>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</si>
  <si>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</si>
  <si>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</si>
  <si>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</si>
  <si>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</si>
  <si>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</si>
  <si>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</si>
  <si>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</si>
  <si>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</si>
  <si>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</si>
  <si>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</si>
  <si>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</si>
  <si>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</si>
  <si>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</si>
  <si>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</si>
  <si>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</si>
  <si>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</si>
  <si>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</si>
  <si>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</si>
  <si>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</si>
  <si>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</si>
  <si>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</si>
  <si>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</si>
  <si>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</si>
  <si>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</si>
  <si>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</si>
  <si>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</si>
  <si>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</si>
  <si>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</si>
  <si>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</si>
  <si>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</si>
  <si>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</si>
  <si>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</si>
  <si>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</si>
  <si>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</si>
  <si>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</si>
  <si>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</si>
  <si>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</si>
  <si>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</si>
  <si>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</si>
  <si>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</si>
  <si>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</si>
  <si>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</si>
  <si>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</si>
  <si>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</si>
  <si>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</si>
  <si>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</si>
  <si>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</si>
  <si>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</si>
  <si>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</si>
  <si>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</si>
  <si>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</si>
  <si>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</si>
  <si>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</si>
  <si>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</si>
  <si>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</si>
  <si>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</si>
  <si>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</si>
  <si>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</si>
  <si>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</si>
  <si>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</si>
  <si>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</si>
  <si>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</si>
  <si>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</si>
  <si>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</si>
  <si>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</si>
  <si>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</si>
  <si>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</si>
  <si>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</si>
  <si>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</si>
  <si>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</si>
  <si>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</si>
  <si>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</si>
  <si>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</si>
  <si>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</si>
  <si>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</si>
  <si>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</si>
  <si>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</si>
  <si>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</si>
  <si>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</si>
  <si>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</si>
  <si>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</si>
  <si>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</si>
  <si>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</si>
  <si>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</si>
  <si>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</si>
  <si>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</si>
  <si>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</si>
  <si>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</si>
  <si>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</si>
  <si>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</si>
  <si>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</si>
  <si>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</si>
  <si>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</si>
  <si>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</si>
  <si>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</si>
  <si>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</si>
  <si>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</si>
  <si>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</si>
  <si>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</si>
  <si>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</si>
  <si>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</si>
  <si>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</si>
  <si>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</si>
  <si>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</si>
  <si>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</si>
  <si>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</si>
  <si>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</si>
  <si>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</si>
  <si>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</si>
  <si>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</si>
  <si>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</si>
  <si>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</si>
  <si>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</si>
  <si>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</si>
  <si>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</si>
  <si>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</si>
  <si>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</si>
  <si>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</si>
  <si>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</si>
  <si>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</si>
  <si>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</si>
  <si>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</si>
  <si>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</si>
  <si>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</si>
  <si>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</si>
  <si>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</si>
  <si>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</si>
  <si>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</si>
  <si>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</si>
  <si>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</si>
  <si>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</si>
  <si>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</si>
  <si>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</si>
  <si>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</si>
  <si>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</si>
  <si>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</si>
  <si>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</si>
  <si>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</si>
  <si>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</si>
  <si>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</si>
  <si>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</si>
  <si>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</si>
  <si>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</si>
  <si>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</si>
  <si>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</si>
  <si>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</si>
  <si>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</si>
  <si>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</si>
  <si>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</si>
  <si>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</si>
  <si>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</si>
  <si>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</si>
  <si>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</si>
  <si>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</si>
  <si>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</si>
  <si>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</si>
  <si>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</si>
  <si>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</si>
  <si>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</si>
  <si>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</si>
  <si>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</si>
  <si>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</si>
  <si>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</si>
  <si>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</si>
  <si>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</si>
  <si>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</si>
  <si>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</si>
  <si>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</si>
  <si>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</si>
  <si>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</si>
  <si>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</si>
  <si>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</si>
  <si>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</si>
  <si>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</si>
  <si>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</si>
  <si>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</si>
  <si>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</si>
  <si>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</si>
  <si>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</si>
  <si>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</si>
  <si>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</si>
  <si>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</si>
  <si>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</si>
  <si>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</si>
  <si>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</si>
  <si>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</si>
  <si>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</si>
  <si>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</si>
  <si>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</si>
  <si>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</si>
  <si>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</si>
  <si>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</si>
  <si>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</si>
  <si>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</si>
  <si>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</si>
  <si>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</si>
  <si>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</si>
  <si>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</si>
  <si>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</si>
  <si>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</si>
  <si>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</si>
  <si>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</si>
  <si>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</si>
  <si>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</si>
  <si>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</si>
  <si>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</si>
  <si>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</si>
  <si>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</si>
  <si>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</si>
  <si>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</si>
  <si>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</si>
  <si>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</si>
  <si>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</si>
  <si>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</si>
  <si>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</si>
  <si>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</si>
  <si>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</si>
  <si>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</si>
  <si>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</si>
  <si>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</si>
  <si>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</si>
  <si>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</si>
  <si>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</si>
  <si>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</si>
  <si>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</si>
  <si>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</si>
  <si>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</si>
  <si>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</si>
  <si>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</si>
  <si>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</si>
  <si>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</si>
  <si>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</si>
  <si>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</si>
  <si>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</si>
  <si>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</si>
  <si>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</si>
  <si>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</si>
  <si>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</si>
  <si>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</si>
  <si>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</si>
  <si>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</si>
  <si>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</si>
  <si>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</si>
  <si>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</si>
  <si>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</si>
  <si>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</si>
  <si>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</si>
  <si>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</si>
  <si>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</si>
  <si>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</si>
  <si>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</si>
  <si>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</si>
  <si>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</si>
  <si>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</si>
  <si>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</si>
  <si>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</si>
  <si>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</si>
  <si>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</si>
  <si>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</si>
  <si>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</si>
  <si>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</si>
  <si>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</si>
  <si>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</si>
  <si>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</si>
  <si>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</si>
  <si>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</si>
  <si>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</si>
  <si>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</si>
  <si>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</si>
  <si>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</si>
  <si>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</si>
  <si>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</si>
  <si>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</si>
  <si>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</si>
  <si>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</si>
  <si>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</si>
  <si>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</si>
  <si>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</si>
  <si>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</si>
  <si>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</si>
  <si>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</si>
  <si>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</si>
  <si>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</si>
  <si>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</si>
  <si>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</si>
  <si>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</si>
  <si>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</si>
  <si>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</si>
  <si>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</si>
  <si>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</si>
  <si>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</si>
  <si>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</si>
  <si>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</si>
  <si>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</si>
  <si>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</si>
  <si>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</si>
  <si>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</si>
  <si>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</si>
  <si>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</si>
  <si>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</si>
  <si>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</si>
  <si>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</si>
  <si>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</si>
  <si>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</si>
  <si>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</si>
  <si>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</si>
  <si>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</si>
  <si>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</si>
  <si>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</si>
  <si>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</si>
  <si>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</si>
  <si>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</si>
  <si>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</si>
  <si>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</si>
  <si>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</si>
  <si>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</si>
  <si>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</si>
  <si>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</si>
  <si>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</si>
  <si>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</si>
  <si>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</si>
  <si>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</si>
  <si>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</si>
  <si>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</si>
  <si>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</si>
  <si>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</si>
  <si>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</si>
  <si>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</si>
  <si>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</si>
  <si>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</si>
  <si>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</si>
  <si>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</si>
  <si>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</si>
  <si>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</si>
  <si>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</si>
  <si>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</si>
  <si>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</si>
  <si>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</si>
  <si>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</si>
  <si>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</si>
  <si>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</si>
  <si>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</si>
  <si>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</si>
  <si>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</si>
  <si>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</si>
  <si>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</si>
  <si>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</si>
  <si>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</si>
  <si>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</si>
  <si>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</si>
  <si>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</si>
  <si>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</si>
  <si>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</si>
  <si>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</si>
  <si>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</si>
  <si>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</si>
  <si>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</si>
  <si>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</si>
  <si>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</si>
  <si>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</si>
  <si>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</si>
  <si>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</si>
  <si>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</si>
  <si>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</si>
  <si>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</si>
  <si>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</si>
  <si>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</si>
  <si>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</si>
  <si>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</si>
  <si>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</si>
  <si>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</si>
  <si>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</si>
  <si>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</si>
  <si>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</si>
  <si>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</si>
  <si>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</si>
  <si>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</si>
  <si>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</si>
  <si>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</si>
  <si>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</si>
  <si>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</si>
  <si>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</si>
  <si>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</si>
  <si>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</si>
  <si>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</si>
  <si>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</si>
  <si>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</si>
  <si>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</si>
  <si>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</si>
  <si>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</si>
  <si>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</si>
  <si>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</si>
  <si>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</si>
  <si>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</si>
  <si>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</si>
  <si>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</si>
  <si>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</si>
  <si>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</si>
  <si>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</si>
  <si>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</si>
  <si>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</si>
  <si>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</si>
  <si>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</si>
  <si>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</si>
  <si>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</si>
  <si>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</si>
  <si>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</si>
  <si>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</si>
  <si>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</si>
  <si>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</si>
  <si>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</si>
  <si>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</si>
  <si>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</si>
  <si>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</si>
  <si>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</si>
  <si>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</si>
  <si>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</si>
  <si>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</si>
  <si>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</si>
  <si>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</si>
  <si>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</si>
  <si>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</si>
  <si>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</si>
  <si>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</si>
  <si>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</si>
  <si>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</si>
  <si>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</si>
  <si>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</si>
  <si>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</si>
  <si>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</si>
  <si>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</si>
  <si>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</si>
  <si>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</si>
  <si>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</si>
  <si>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</si>
  <si>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</si>
  <si>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</si>
  <si>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</si>
  <si>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</si>
  <si>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</si>
  <si>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</si>
  <si>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</si>
  <si>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</si>
  <si>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</si>
  <si>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</si>
  <si>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</si>
  <si>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</si>
  <si>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</si>
  <si>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</si>
  <si>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</si>
  <si>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</si>
  <si>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</si>
  <si>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</si>
  <si>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</si>
  <si>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</si>
  <si>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</si>
  <si>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</si>
  <si>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</si>
  <si>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</si>
  <si>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</si>
  <si>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</si>
  <si>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</si>
  <si>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</si>
  <si>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</si>
  <si>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</si>
  <si>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</si>
  <si>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</si>
  <si>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</si>
  <si>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</si>
  <si>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</si>
  <si>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</si>
  <si>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</si>
  <si>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</si>
  <si>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</si>
  <si>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</si>
  <si>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</si>
  <si>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</si>
  <si>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</si>
  <si>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</si>
  <si>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</si>
  <si>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</si>
  <si>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</si>
  <si>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</si>
  <si>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</si>
  <si>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</si>
  <si>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</si>
  <si>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</si>
  <si>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</si>
  <si>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</si>
  <si>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</si>
  <si>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</si>
  <si>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</si>
  <si>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</si>
  <si>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</si>
  <si>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</si>
  <si>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</si>
  <si>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</si>
  <si>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</si>
  <si>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</si>
  <si>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</si>
  <si>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</si>
  <si>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</si>
  <si>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</si>
  <si>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</si>
  <si>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</si>
  <si>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</si>
  <si>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</si>
  <si>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</si>
  <si>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</si>
  <si>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</si>
  <si>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</si>
  <si>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</si>
  <si>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</si>
  <si>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</si>
  <si>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</si>
  <si>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</si>
  <si>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</si>
  <si>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</si>
  <si>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</si>
  <si>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</si>
  <si>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</si>
  <si>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</si>
  <si>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</si>
  <si>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</si>
  <si>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</si>
  <si>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</si>
  <si>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</si>
  <si>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</si>
  <si>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</si>
  <si>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</si>
  <si>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</si>
  <si>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</si>
  <si>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</si>
  <si>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</si>
  <si>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</si>
  <si>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</si>
  <si>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</si>
  <si>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</si>
  <si>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</si>
  <si>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</si>
  <si>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</si>
  <si>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</si>
  <si>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</si>
  <si>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</si>
  <si>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</si>
  <si>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</si>
  <si>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</si>
  <si>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</si>
  <si>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</si>
  <si>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</si>
  <si>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</si>
  <si>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</si>
  <si>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</si>
  <si>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</si>
  <si>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</si>
  <si>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</si>
  <si>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</si>
  <si>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</si>
  <si>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</si>
  <si>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</si>
  <si>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</si>
  <si>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</si>
  <si>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</si>
  <si>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</si>
  <si>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</si>
  <si>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</si>
  <si>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</si>
  <si>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</si>
  <si>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</si>
  <si>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</si>
  <si>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</si>
  <si>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</si>
  <si>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</si>
  <si>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</si>
  <si>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</si>
  <si>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</si>
  <si>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</si>
  <si>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</si>
  <si>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</si>
  <si>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</si>
  <si>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</si>
  <si>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</si>
  <si>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</si>
  <si>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</si>
  <si>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</si>
  <si>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</si>
  <si>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</si>
  <si>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</si>
  <si>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</si>
  <si>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</si>
  <si>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</si>
  <si>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</si>
  <si>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</si>
  <si>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</si>
  <si>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</si>
  <si>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</si>
  <si>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</si>
  <si>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</si>
  <si>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</si>
  <si>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</si>
  <si>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</si>
  <si>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</si>
  <si>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</si>
  <si>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</si>
  <si>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</si>
  <si>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</si>
  <si>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</si>
  <si>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</si>
  <si>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</si>
  <si>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</si>
  <si>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</si>
  <si>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</si>
  <si>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</si>
  <si>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</si>
  <si>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</si>
  <si>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</si>
  <si>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</si>
  <si>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</si>
  <si>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</si>
  <si>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</si>
  <si>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</si>
  <si>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</si>
  <si>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</si>
  <si>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</si>
  <si>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</si>
  <si>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</si>
  <si>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</si>
  <si>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</si>
  <si>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</si>
  <si>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</si>
  <si>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</si>
  <si>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</si>
  <si>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</si>
  <si>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</si>
  <si>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</si>
  <si>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</si>
  <si>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</si>
  <si>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</si>
  <si>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</si>
  <si>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</si>
  <si>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</si>
  <si>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</si>
  <si>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</si>
  <si>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</si>
  <si>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</si>
  <si>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</si>
  <si>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</si>
  <si>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</si>
  <si>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</si>
  <si>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</si>
  <si>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</si>
  <si>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</si>
  <si>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</si>
  <si>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</si>
  <si>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</si>
  <si>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</si>
  <si>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</si>
  <si>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</si>
  <si>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</si>
  <si>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</si>
  <si>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</si>
  <si>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</si>
  <si>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</si>
  <si>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</si>
  <si>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</si>
  <si>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</si>
  <si>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</si>
  <si>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</si>
  <si>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</si>
  <si>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</si>
  <si>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</si>
  <si>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</si>
  <si>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</si>
  <si>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</si>
  <si>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</si>
  <si>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</si>
  <si>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</si>
  <si>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</si>
  <si>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</si>
  <si>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</si>
  <si>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</si>
  <si>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</si>
  <si>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</si>
  <si>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</si>
  <si>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</si>
  <si>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</si>
  <si>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</si>
  <si>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</si>
  <si>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</si>
  <si>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</si>
  <si>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</si>
  <si>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</si>
  <si>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</si>
  <si>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</si>
  <si>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</si>
  <si>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</si>
  <si>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</si>
  <si>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</si>
  <si>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</si>
  <si>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</si>
  <si>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</si>
  <si>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</si>
  <si>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</si>
  <si>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</si>
  <si>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</si>
  <si>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</si>
  <si>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</si>
  <si>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</si>
  <si>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</si>
  <si>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</si>
  <si>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</si>
  <si>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</si>
  <si>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</si>
  <si>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</si>
  <si>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</si>
  <si>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</si>
  <si>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</si>
  <si>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</si>
  <si>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</si>
  <si>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</si>
  <si>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</si>
  <si>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</si>
  <si>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</si>
  <si>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</si>
  <si>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</si>
  <si>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</si>
  <si>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</si>
  <si>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</si>
  <si>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</si>
  <si>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</si>
  <si>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</si>
  <si>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</si>
  <si>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</si>
  <si>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</si>
  <si>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</si>
  <si>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</si>
  <si>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</si>
  <si>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</si>
  <si>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</si>
  <si>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</si>
  <si>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</si>
  <si>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</si>
  <si>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</si>
  <si>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</si>
  <si>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</si>
  <si>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</si>
  <si>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</si>
  <si>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</si>
  <si>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</si>
  <si>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</si>
  <si>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</si>
  <si>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</si>
  <si>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</si>
  <si>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</si>
  <si>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</si>
  <si>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</si>
  <si>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</si>
  <si>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</si>
  <si>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</si>
  <si>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</si>
  <si>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</si>
  <si>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</si>
  <si>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</si>
  <si>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</si>
  <si>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</si>
  <si>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</si>
  <si>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</si>
  <si>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</si>
  <si>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</si>
  <si>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</si>
  <si>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</si>
  <si>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</si>
  <si>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</si>
  <si>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</si>
  <si>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</si>
  <si>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</si>
  <si>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</si>
  <si>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</si>
  <si>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</si>
  <si>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</si>
  <si>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</si>
  <si>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</si>
  <si>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</si>
  <si>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</si>
  <si>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</si>
  <si>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</si>
  <si>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</si>
  <si>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</si>
  <si>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</si>
  <si>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</si>
  <si>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</si>
  <si>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</si>
  <si>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</si>
  <si>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</si>
  <si>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</si>
  <si>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</si>
  <si>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</si>
  <si>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</si>
  <si>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</si>
  <si>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</si>
  <si>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</si>
  <si>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</si>
  <si>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</si>
  <si>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</si>
  <si>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</si>
  <si>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</si>
  <si>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</si>
  <si>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</si>
  <si>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</si>
  <si>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</si>
  <si>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</si>
  <si>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</si>
  <si>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</si>
  <si>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</si>
  <si>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</si>
  <si>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</si>
  <si>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</si>
  <si>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</si>
  <si>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</si>
  <si>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</si>
  <si>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</si>
  <si>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</si>
  <si>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</si>
  <si>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</si>
  <si>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</si>
  <si>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</si>
  <si>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</si>
  <si>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</si>
  <si>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</si>
  <si>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</si>
  <si>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</si>
  <si>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</si>
  <si>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</si>
  <si>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</si>
  <si>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</si>
  <si>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</si>
  <si>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</si>
  <si>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</si>
  <si>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</si>
  <si>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</si>
  <si>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</si>
  <si>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</si>
  <si>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</si>
  <si>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</si>
  <si>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</si>
  <si>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</si>
  <si>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</si>
  <si>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</si>
  <si>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</si>
  <si>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</si>
  <si>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</si>
  <si>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</si>
  <si>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</si>
  <si>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</si>
  <si>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</si>
  <si>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</si>
  <si>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</si>
  <si>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</si>
  <si>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</si>
  <si>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</si>
  <si>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</si>
  <si>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</si>
  <si>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</si>
  <si>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</si>
  <si>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</si>
  <si>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</si>
  <si>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</si>
  <si>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</si>
  <si>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</si>
  <si>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</si>
  <si>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</si>
  <si>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</si>
  <si>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</si>
  <si>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</si>
  <si>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</si>
  <si>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</si>
  <si>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</si>
  <si>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</si>
  <si>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</si>
  <si>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</si>
  <si>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</si>
  <si>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</si>
  <si>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</si>
  <si>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</si>
  <si>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</si>
  <si>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</si>
  <si>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</si>
  <si>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</si>
  <si>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</si>
  <si>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</si>
  <si>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</si>
  <si>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</si>
  <si>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</si>
  <si>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</si>
  <si>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</si>
  <si>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</si>
  <si>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</si>
  <si>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</si>
  <si>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</si>
  <si>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</si>
  <si>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</si>
  <si>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</si>
  <si>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</si>
  <si>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</si>
  <si>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</si>
  <si>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</si>
  <si>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</si>
  <si>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</si>
  <si>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</si>
  <si>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</si>
  <si>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</si>
  <si>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</si>
  <si>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</si>
  <si>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</si>
  <si>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</si>
  <si>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</si>
  <si>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</si>
  <si>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</si>
  <si>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</si>
  <si>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</si>
  <si>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</si>
  <si>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</si>
  <si>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</si>
  <si>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</si>
  <si>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</si>
  <si>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</si>
  <si>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</si>
  <si>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</si>
  <si>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</si>
  <si>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</si>
  <si>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</si>
  <si>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</si>
  <si>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</si>
  <si>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</si>
  <si>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</si>
  <si>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</si>
  <si>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</si>
  <si>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</si>
  <si>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</si>
  <si>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</si>
  <si>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</si>
  <si>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Déplacé</t>
  </si>
  <si>
    <t>Exos</t>
  </si>
  <si>
    <t>Identifiant local de l'affaire/dossier</t>
  </si>
  <si>
    <t xml:space="preserve">Valoriser avec le numéro du dossier dans le SI de l'émetteur du message. 
Ce champ est facultatif, il ne sera notamment pas transmis par NexSIS.
</t>
  </si>
  <si>
    <t>DRFR15DDXAAJJJ0000</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</si>
  <si>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</si>
  <si>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</si>
  <si>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</si>
  <si>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Filière</t>
  </si>
  <si>
    <t>AMU</t>
  </si>
  <si>
    <t>cisuNomenclatureVersion</t>
  </si>
  <si>
    <t>perimeter</t>
  </si>
  <si>
    <t>ENUM: AMU, SNP, neonat</t>
  </si>
  <si>
    <t>Type de dossier</t>
  </si>
  <si>
    <t>Primaire</t>
  </si>
  <si>
    <t>type</t>
  </si>
  <si>
    <t>ENUM: Primaire, Secondaire</t>
  </si>
  <si>
    <t>Qualification de l'affaire/dossier</t>
  </si>
  <si>
    <t>Permet de qualifier l'affaire en générale. La qualification est issue d'une interprétation métier des alertes reçues.</t>
  </si>
  <si>
    <t>alertCode</t>
  </si>
  <si>
    <t>qualification</t>
  </si>
  <si>
    <t>Observations  ARM</t>
  </si>
  <si>
    <t>Long !!</t>
  </si>
  <si>
    <t>Priorisation ARM</t>
  </si>
  <si>
    <t>priority</t>
  </si>
  <si>
    <t>ENUM: P0, P1, P2, P3</t>
  </si>
  <si>
    <t>Type de lieu</t>
  </si>
  <si>
    <t>Décrit la nature de fait de l'alerte (NF) à partir de la nomenclature CISU.
Le champs freetext sert à passer les informations de gestion des évènements (main courante sans les informations médicales privilégiées).</t>
  </si>
  <si>
    <t>locationKind</t>
  </si>
  <si>
    <t>CE/CK</t>
  </si>
  <si>
    <t>raison de l'appel</t>
  </si>
  <si>
    <t>nomenclature</t>
  </si>
  <si>
    <t>nomenclature CISU</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</si>
  <si>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</si>
  <si>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</si>
  <si>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</si>
  <si>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</si>
  <si>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</si>
  <si>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</si>
  <si>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</si>
  <si>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Commentaire libre permettant de passer des informations complémentaires associées à la nomenclature</t>
  </si>
  <si>
    <t>Nature de fait</t>
  </si>
  <si>
    <t># Voir whatsHappen (type nomenclature)</t>
  </si>
  <si>
    <t>Décrit le type de lieu (TL). Référentiel : nomenclature CISU</t>
  </si>
  <si>
    <t>whatsHappen</t>
  </si>
  <si>
    <t>CI</t>
  </si>
  <si>
    <t>Type de lieu d'intervention</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</si>
  <si>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</si>
  <si>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</si>
  <si>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</si>
  <si>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</si>
  <si>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</si>
  <si>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</si>
  <si>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Détails du dossier </t>
  </si>
  <si>
    <t>details</t>
  </si>
  <si>
    <t>caseDetails</t>
  </si>
  <si>
    <t>nomenclature SI-SAMU</t>
  </si>
  <si>
    <t>cf. cycle SI SAMU  : échanger l'état du dossier si le cycle de vie du dossier est implémenté de manière conforme au cycle de vie du dossier SI-SAMU. 
Echanger à minima l'information que le dossier est clôturé.</t>
  </si>
  <si>
    <t>ENUM: Programmé, Actif , Achevé, Validé , Clôturé , Classé, Archivé</t>
  </si>
  <si>
    <t>ok, pas de nomenclature, juste enum, ce serait mieux d'avoir des codes : à retravailler</t>
  </si>
  <si>
    <t>D/DR/DRM si cycle SI-SAMU implémenté</t>
  </si>
  <si>
    <t>DR</t>
  </si>
  <si>
    <t>ENUM: D, DR, DRM 
NOMENC_TYPEDOS</t>
  </si>
  <si>
    <t>ok enum, pas de code</t>
  </si>
  <si>
    <t>Attribution du dossier</t>
  </si>
  <si>
    <t>Décrit le type de professionnel médical à qui le dossier est attribué : Médecin généraliste, médecin urgentiste etc.</t>
  </si>
  <si>
    <t>MU</t>
  </si>
  <si>
    <t>attribution</t>
  </si>
  <si>
    <t>onglet Attribution du dossier.</t>
  </si>
  <si>
    <t>nomenclature à retravailler</t>
  </si>
  <si>
    <t>Priorité de régulation médicale</t>
  </si>
  <si>
    <t>Décrit la priorité de régulation médicale du dossier : P0, P1, P2, P3</t>
  </si>
  <si>
    <t>P1</t>
  </si>
  <si>
    <t>onglet Priorité de régulation médicale</t>
  </si>
  <si>
    <t>nomenclature guide de regul (sfmu sudf)</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</si>
  <si>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</si>
  <si>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</si>
  <si>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</si>
  <si>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</si>
  <si>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</si>
  <si>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</si>
  <si>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</si>
  <si>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</si>
  <si>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</si>
  <si>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</si>
  <si>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</si>
  <si>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</si>
  <si>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</si>
  <si>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</si>
  <si>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</si>
  <si>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</si>
  <si>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</si>
  <si>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</si>
  <si>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Origine de l'appel</t>
  </si>
  <si>
    <t>ENUM: 15, 17, 18, 112, 116117</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</si>
  <si>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</si>
  <si>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</si>
  <si>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</si>
  <si>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</si>
  <si>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</si>
  <si>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</si>
  <si>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</si>
  <si>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</si>
  <si>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</si>
  <si>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</si>
  <si>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</si>
  <si>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</si>
  <si>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</si>
  <si>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Etablissement, forêt de Fontainebleau, lac du Der (plutôt à destination des systèmes).</t>
  </si>
  <si>
    <t>Lycée Pierre de Coubertin</t>
  </si>
  <si>
    <t>LE/L4</t>
  </si>
  <si>
    <t>Nom de l'établissement répertorié/point d'intérêt</t>
  </si>
  <si>
    <t>Identifiant(s) du lieu</t>
  </si>
  <si>
    <t>Permet d'identifier une structure commerciale ou un établissement</t>
  </si>
  <si>
    <t>externalLocationId</t>
  </si>
  <si>
    <t>Source  /  type d'identifiant</t>
  </si>
  <si>
    <t>Type de l'identifiant fourni</t>
  </si>
  <si>
    <t>FINESS géographique, FINESS administratif, SIREN, SIRET, APE, NAF</t>
  </si>
  <si>
    <t>ENUM: FINESS administratif, FINESS géographique, SIREN, SIRET, APE/NAF</t>
  </si>
  <si>
    <t>énumération partielle pour le moment, nomenclature à créer</t>
  </si>
  <si>
    <t>nomenclature à créer</t>
  </si>
  <si>
    <t>Identifiant</t>
  </si>
  <si>
    <t>L'identifiant en lui-même</t>
  </si>
  <si>
    <t>920000650 </t>
  </si>
  <si>
    <t>value</t>
  </si>
  <si>
    <t>Détails de l'adresse</t>
  </si>
  <si>
    <t>detailedAddress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</si>
  <si>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</si>
  <si>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</si>
  <si>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</si>
  <si>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</si>
  <si>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</si>
  <si>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</si>
  <si>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</si>
  <si>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</si>
  <si>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</si>
  <si>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</si>
  <si>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</si>
  <si>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</si>
  <si>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</si>
  <si>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</si>
  <si>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</si>
  <si>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</si>
  <si>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</si>
  <si>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</si>
  <si>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</si>
  <si>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</si>
  <si>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</si>
  <si>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</si>
  <si>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</si>
  <si>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</si>
  <si>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</si>
  <si>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</si>
  <si>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</si>
  <si>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</si>
  <si>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</si>
  <si>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</si>
  <si>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</si>
  <si>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</si>
  <si>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</si>
  <si>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</si>
  <si>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</si>
  <si>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</si>
  <si>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</si>
  <si>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</si>
  <si>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</si>
  <si>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</si>
  <si>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</si>
  <si>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</si>
  <si>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t>
  </si>
  <si>
    <t>floor</t>
  </si>
  <si>
    <t>LG</t>
  </si>
  <si>
    <t>Numéro de porte</t>
  </si>
  <si>
    <t>Spécifie numéro d'appartement, de chambre, de bureau</t>
  </si>
  <si>
    <t>A16</t>
  </si>
  <si>
    <t>roomNumber</t>
  </si>
  <si>
    <t>LP</t>
  </si>
  <si>
    <t>Indique les informations nécessaires  à l'identification de l'interphone (numéro, nom)</t>
  </si>
  <si>
    <t>Dupont</t>
  </si>
  <si>
    <t>interphone</t>
  </si>
  <si>
    <t>Indique le ou les digicodes dans l'ordre de progression dans le bâtiment</t>
  </si>
  <si>
    <t>1234A</t>
  </si>
  <si>
    <t>accessCode</t>
  </si>
  <si>
    <t>LD</t>
  </si>
  <si>
    <t>Ascenseur/escalier</t>
  </si>
  <si>
    <t xml:space="preserve">Indique l'ascenseur ou la cage d'escalier </t>
  </si>
  <si>
    <t>C3</t>
  </si>
  <si>
    <t>elevator</t>
  </si>
  <si>
    <t>Bâtiment</t>
  </si>
  <si>
    <t>Batiment B</t>
  </si>
  <si>
    <t>buildingName</t>
  </si>
  <si>
    <t>Entrée</t>
  </si>
  <si>
    <t>Zone Sud</t>
  </si>
  <si>
    <t>entrance</t>
  </si>
  <si>
    <t>Nom du service concerné au sein de l'établissement : Infirmerie, service finance, service cardiologie, …</t>
  </si>
  <si>
    <t>Infirmerie</t>
  </si>
  <si>
    <t>entity</t>
  </si>
  <si>
    <t>N° de téléphone du lieu</t>
  </si>
  <si>
    <t>Numéro de téléphone permettant d'accéder au lieu de l'intervention, par exemple : téléphone du secrétariat, téléphone du service administratif ou se trouve le patient/victime.</t>
  </si>
  <si>
    <t>phoneNumber</t>
  </si>
  <si>
    <t>format téléphone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</si>
  <si>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</si>
  <si>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</si>
  <si>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</si>
  <si>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</si>
  <si>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</si>
  <si>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</si>
  <si>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</si>
  <si>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</si>
  <si>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</si>
  <si>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</si>
  <si>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</si>
  <si>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</si>
  <si>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</si>
  <si>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</si>
  <si>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</si>
  <si>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</si>
  <si>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</si>
  <si>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</si>
  <si>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</si>
  <si>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</si>
  <si>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</si>
  <si>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</si>
  <si>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</si>
  <si>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</si>
  <si>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</si>
  <si>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</si>
  <si>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</si>
  <si>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</si>
  <si>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</si>
  <si>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</si>
  <si>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</si>
  <si>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</si>
  <si>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</si>
  <si>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</si>
  <si>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</si>
  <si>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</si>
  <si>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</si>
  <si>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</si>
  <si>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</si>
  <si>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</si>
  <si>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</si>
  <si>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</si>
  <si>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</si>
  <si>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</si>
  <si>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</si>
  <si>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</si>
  <si>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</si>
  <si>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</si>
  <si>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</si>
  <si>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</si>
  <si>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</si>
  <si>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</si>
  <si>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</si>
  <si>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</si>
  <si>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</si>
  <si>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</si>
  <si>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</si>
  <si>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</si>
  <si>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</si>
  <si>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</si>
  <si>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</si>
  <si>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</si>
  <si>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</si>
  <si>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</si>
  <si>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</si>
  <si>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</si>
  <si>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</si>
  <si>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</si>
  <si>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</si>
  <si>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</si>
  <si>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</si>
  <si>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</si>
  <si>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</si>
  <si>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</si>
  <si>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</si>
  <si>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</si>
  <si>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</si>
  <si>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</si>
  <si>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</si>
  <si>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</si>
  <si>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</si>
  <si>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</si>
  <si>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</si>
  <si>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</si>
  <si>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</si>
  <si>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</si>
  <si>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</si>
  <si>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</si>
  <si>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</si>
  <si>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</si>
  <si>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</si>
  <si>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</si>
  <si>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</si>
  <si>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</si>
  <si>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</si>
  <si>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</si>
  <si>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lieux</t>
  </si>
  <si>
    <t>OG</t>
  </si>
  <si>
    <t>Observations générales (texte libre)</t>
  </si>
  <si>
    <t>APPELANT</t>
  </si>
  <si>
    <t>Objet permettant d'identifer la personne qui a alerté les secours et de la recontacter</t>
  </si>
  <si>
    <t>caller</t>
  </si>
  <si>
    <t>Contact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</si>
  <si>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</si>
  <si>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</si>
  <si>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</si>
  <si>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</si>
  <si>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</si>
  <si>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</si>
  <si>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</si>
  <si>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</si>
  <si>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</si>
  <si>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</si>
  <si>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ajouter la nomenclature EMSI complète dans les fichiers de nomenclature</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</si>
  <si>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</si>
  <si>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</si>
  <si>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</si>
  <si>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</si>
  <si>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</si>
  <si>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</si>
  <si>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</si>
  <si>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</si>
  <si>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</si>
  <si>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</si>
  <si>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</si>
  <si>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</si>
  <si>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</si>
  <si>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</si>
  <si>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</si>
  <si>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</si>
  <si>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</si>
  <si>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</si>
  <si>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voir avec Daphné pour remplacer par nomenclature SI-SAMU dans fichier</t>
  </si>
  <si>
    <t>Nomenclature SI SAMU</t>
  </si>
  <si>
    <t>Nomenc SI-SAMU = TYPAPPLT</t>
  </si>
  <si>
    <t>Difficulté de communication</t>
  </si>
  <si>
    <t>Indique si le requérant rencontre ou non des difficulté de communication</t>
  </si>
  <si>
    <t>Malentendant, aucune difficulté de communication</t>
  </si>
  <si>
    <t>onglet Difficultés de communication</t>
  </si>
  <si>
    <t>Informations complémentaires sur le requérant</t>
  </si>
  <si>
    <t>Informations complémentaires sur le requérant 
Les informations peuvent être passées sous forme de texte libre ou via une liste d'adjectif</t>
  </si>
  <si>
    <t>témoin de l'accident</t>
  </si>
  <si>
    <t>CH</t>
  </si>
  <si>
    <t>Profil appelant</t>
  </si>
  <si>
    <t>Prénom &amp; nom usuel</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</si>
  <si>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</si>
  <si>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</si>
  <si>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</si>
  <si>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</si>
  <si>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</si>
  <si>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</si>
  <si>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</si>
  <si>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</si>
  <si>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</si>
  <si>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</si>
  <si>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</si>
  <si>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</si>
  <si>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</si>
  <si>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</si>
  <si>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</si>
  <si>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</si>
  <si>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</si>
  <si>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</si>
  <si>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</si>
  <si>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</si>
  <si>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</si>
  <si>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</si>
  <si>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</si>
  <si>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</si>
  <si>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</si>
  <si>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</si>
  <si>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</si>
  <si>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</si>
  <si>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</si>
  <si>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</si>
  <si>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</si>
  <si>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</si>
  <si>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</si>
  <si>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</si>
  <si>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</si>
  <si>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</si>
  <si>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</si>
  <si>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</si>
  <si>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</si>
  <si>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{pays}.{domaine}.{organisation}.{structure interne}*.{unité fonctionnelle}*.</t>
  </si>
  <si>
    <t>fr.health.samu440</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</si>
  <si>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</si>
  <si>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</si>
  <si>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</si>
  <si>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</si>
  <si>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</si>
  <si>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</si>
  <si>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</si>
  <si>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</si>
  <si>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</si>
  <si>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</si>
  <si>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</si>
  <si>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</si>
  <si>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</si>
  <si>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</si>
  <si>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calltakerContact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</si>
  <si>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</si>
  <si>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</si>
  <si>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</si>
  <si>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</si>
  <si>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</si>
  <si>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</si>
  <si>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</si>
  <si>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</si>
  <si>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</si>
  <si>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</si>
  <si>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</si>
  <si>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</si>
  <si>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</si>
  <si>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</si>
  <si>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</si>
  <si>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</si>
  <si>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</si>
  <si>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</si>
  <si>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</si>
  <si>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</si>
  <si>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</si>
  <si>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</si>
  <si>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</si>
  <si>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</si>
  <si>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</si>
  <si>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</si>
  <si>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</si>
  <si>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</si>
  <si>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</si>
  <si>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</si>
  <si>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</si>
  <si>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</si>
  <si>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</si>
  <si>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</si>
  <si>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owner</t>
  </si>
  <si>
    <t>Voir avec Romain où se trouve la liste des ID Samu uniques qu'on utilise dans le Hub Santé</t>
  </si>
  <si>
    <t>Opérateurs impliqués</t>
  </si>
  <si>
    <t>Si pertinent et si le SAMU émetteur souhaite partager les opérateurs spécifiques à contacter chez lui (ARM Référent, Médecin référent, etc) pour le traitement d'un dossier.</t>
  </si>
  <si>
    <t>operator</t>
  </si>
  <si>
    <t>Prénom &amp; nom de l'opérateur</t>
  </si>
  <si>
    <t>revoir la cardinalité avec Philippe : quel est l'intérêt de donner uniquement le rôle de l'opérateur (par exemple ARM) sans le nom et  le prénom (si l'objet est rempli) ou un identifiant ? L'objet sert à communiquer un opérateur 'référent' qui suivrait le dossier / a contacter en priorité.</t>
  </si>
  <si>
    <t>Identifiant professionnel de l'opérateur si existant</t>
  </si>
  <si>
    <t>Rôle</t>
  </si>
  <si>
    <t>Rôle de l'opérateur au sein de l'entité émettrice du message</t>
  </si>
  <si>
    <t>ARM, Medecin régulateur…</t>
  </si>
  <si>
    <t>Patient / victime</t>
  </si>
  <si>
    <t>Identification des patients / victimes</t>
  </si>
  <si>
    <t>patient</t>
  </si>
  <si>
    <t>ID patient partagé</t>
  </si>
  <si>
    <t>Identifiant technique du patient pour permettre les rapprochements d'infos. Le 1er qui créé l'ID patient a raison.</t>
  </si>
  <si>
    <t>Voir pour implémenter un format obligatoire mais pour l'instant c'est l'ID patient unique du premier qui parle (= qui le partage). A inventer en concertation avec les autres forces. Pour l'instant on met un ID technique + à retravailler.</t>
  </si>
  <si>
    <t>A retravailler en concertation avec autres forces : important pour rattachement bilan / patients</t>
  </si>
  <si>
    <t>Dossier administratif</t>
  </si>
  <si>
    <t>file</t>
  </si>
  <si>
    <t>Identifiant(s) patient(s)</t>
  </si>
  <si>
    <t>Identifiant autre que le matricule INS</t>
  </si>
  <si>
    <t>externalId</t>
  </si>
  <si>
    <t>NIR, SINUS, SI-VIC, …</t>
  </si>
  <si>
    <t>ENUM: NIR, SINUS, SI-VIC, DOSSARD, PLACE</t>
  </si>
  <si>
    <t>Type et valeur des URI utilisées par le patient concerné</t>
  </si>
  <si>
    <t>remettre la nomenclature EMSI complète (cf objet dans 15-18)</t>
  </si>
  <si>
    <t>2 balises : type contact et no</t>
  </si>
  <si>
    <t>Adresse</t>
  </si>
  <si>
    <t>Voir pour ajouter l'adresse postale du patient uniquement : pas besoin du niveau de détail de l'adresse d'intervention qui est un objet différent</t>
  </si>
  <si>
    <t>personalAddress</t>
  </si>
  <si>
    <t># Voir detailedAddress</t>
  </si>
  <si>
    <t># Voir city</t>
  </si>
  <si>
    <t xml:space="preserve">Médecin traitant </t>
  </si>
  <si>
    <t>generalPractitioner</t>
  </si>
  <si>
    <t xml:space="preserve">Si besoin : concaténer le nom de jeune fille (nom de naissance) et nom de femme mariée (nom d'usage) dans ce champ. </t>
  </si>
  <si>
    <t>Nom du médecin traitant du patient si connu</t>
  </si>
  <si>
    <t>Identifiant RPPS</t>
  </si>
  <si>
    <t>Numéro RPPS du médecin traitant</t>
  </si>
  <si>
    <t>vérifier le format du numéro RPPS seulement</t>
  </si>
  <si>
    <t>RPPS</t>
  </si>
  <si>
    <t>Adresse medecin</t>
  </si>
  <si>
    <t># Voir patientAddress (type personalAddress)</t>
  </si>
  <si>
    <t>Contact médecin</t>
  </si>
  <si>
    <t>Identité INS</t>
  </si>
  <si>
    <t>L'identitée du patient basée sur les règles de l'INS</t>
  </si>
  <si>
    <t>identity</t>
  </si>
  <si>
    <t>insIdentity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</si>
  <si>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</si>
  <si>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</si>
  <si>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</si>
  <si>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</si>
  <si>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</si>
  <si>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Provisoire, Validée, Récupérée, Qualifiée</t>
  </si>
  <si>
    <t>Les statuts de l'identité sont énumérés tels que définis par la doctrine INS. Il n'existe pas à proprement parler de 'nomenclature' (source : RNIV)</t>
  </si>
  <si>
    <t>nomenclature INS</t>
  </si>
  <si>
    <t>Attribut de l'identité</t>
  </si>
  <si>
    <t>Le RNIV recommande que les logiciels référentiels d’identités gèrent a minima les 3 attributs suivants :
- identité homonyme,
- identité douteuse,
- identité fictive.</t>
  </si>
  <si>
    <t>attribute</t>
  </si>
  <si>
    <t>ENUM: Homonyme, Fictive, Douteuse</t>
  </si>
  <si>
    <t>Les attributs de l'identités sont énumérés tels que définis par la doctrine INS. Il n'existe pas à proprement parler de 'nomenclature' (source : RNIV)</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</si>
  <si>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</si>
  <si>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</si>
  <si>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</si>
  <si>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</si>
  <si>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</si>
  <si>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Vérifier uniquement le format du matricule INS  :  13 caractères (collés sans espace) et une clé sur 2 caractères (donc 15 caractères?) + attention, peut contenir des lettres pour la Corse (2A et 2B)</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</si>
  <si>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</si>
  <si>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</si>
  <si>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</si>
  <si>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</si>
  <si>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Voir pour mettre une enum, globalement il n'y'en a pas beaucoup : https://esante.gouv.fr/sites/default/files/media_entity/documents/asip_referentiel_identifiant_national_sante-liste-des-oid-des-autorites-d-affectation-des-ins_v0.1.pdf</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</si>
  <si>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</si>
  <si>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</si>
  <si>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strictFeatures</t>
  </si>
  <si>
    <t>insStrictFeatures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</si>
  <si>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</si>
  <si>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</si>
  <si>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</si>
  <si>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</si>
  <si>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</si>
  <si>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</si>
  <si>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</si>
  <si>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</si>
  <si>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</si>
  <si>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</si>
  <si>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Date de naissance du patient</t>
  </si>
  <si>
    <t>birthDate</t>
  </si>
  <si>
    <t>date</t>
  </si>
  <si>
    <t xml:space="preserve">Sexe </t>
  </si>
  <si>
    <t>Sexe du patient</t>
  </si>
  <si>
    <t>sex</t>
  </si>
  <si>
    <t>onglet sexe</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</si>
  <si>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</si>
  <si>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</si>
  <si>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</si>
  <si>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Vérifier le format du code INSEE uniquement</t>
  </si>
  <si>
    <t>code insee</t>
  </si>
  <si>
    <t>Traits non stricts de l'identité</t>
  </si>
  <si>
    <t># Voir detailedName</t>
  </si>
  <si>
    <t>Prénom et nom usuels</t>
  </si>
  <si>
    <t>nonStrictFeatures</t>
  </si>
  <si>
    <t>Décrit le motif de recours médico-secouriste spécifique au patient concerné (MR). Référentiel : nomenclature CISU.</t>
  </si>
  <si>
    <t>onglet motif de recours medico-secouriste</t>
  </si>
  <si>
    <t>Informations patient</t>
  </si>
  <si>
    <t>patientDetail</t>
  </si>
  <si>
    <t>il manque potentiellement les actes effecteurs ?</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</si>
  <si>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</si>
  <si>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</si>
  <si>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</si>
  <si>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</si>
  <si>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</si>
  <si>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</si>
  <si>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</si>
  <si>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 du patient.
Au format Durée de la norme ISO 8601 (https://fr.wikipedia.org/wiki/ISO_8601#Dur%C3%A9e) en n'utilisant qu'une seule unité de durée (années, mois, semaines ou jours)</t>
  </si>
  <si>
    <t>P6Y</t>
  </si>
  <si>
    <t>age</t>
  </si>
  <si>
    <t>REGEX: P[0-9]{1,3}[YMWDH]</t>
  </si>
  <si>
    <t>Niveau de soin</t>
  </si>
  <si>
    <t>R1</t>
  </si>
  <si>
    <t>careLevel</t>
  </si>
  <si>
    <t>onglet niveau de soin</t>
  </si>
  <si>
    <t>Hypothèses de régulation médicale</t>
  </si>
  <si>
    <t>hypothesis</t>
  </si>
  <si>
    <t>Hypothèse de régulation médicale principale</t>
  </si>
  <si>
    <t>Hypothese diagnostique principale émise par le médecin régulateur du CRAA</t>
  </si>
  <si>
    <t>mainDiagnosis</t>
  </si>
  <si>
    <t>CIM11 : récupérer le format des codes, et ne vérifier que le format</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</si>
  <si>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</si>
  <si>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</si>
  <si>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</si>
  <si>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</si>
  <si>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 ou diagnostic par le médecin régulateur après avoir reçu le retour de l'effecteur</t>
  </si>
  <si>
    <t>resourceDiagnosis</t>
  </si>
  <si>
    <t>Observations médicales</t>
  </si>
  <si>
    <t>Interrogatoire médical. Aussi appelé note de régulation médicale.</t>
  </si>
  <si>
    <t>medicalNote</t>
  </si>
  <si>
    <t>Objet aligné sur le bloc note</t>
  </si>
  <si>
    <t>ID partagé du patient concerné, lorsque le patient existe et est identifié</t>
  </si>
  <si>
    <t>Professionnel de santé qui réalise l'interrogatoire</t>
  </si>
  <si>
    <t># Voir operator</t>
  </si>
  <si>
    <t xml:space="preserve">Professionnel de santé qui réalise l'interrogatoire médical. </t>
  </si>
  <si>
    <t>Date Heure de création de l'interrogatoire</t>
  </si>
  <si>
    <t>Groupe date heure de création de l'interrogatoire.  L'indicateur de fuseau horaire Z ne doit pas être utilisé.</t>
  </si>
  <si>
    <t>Observations et commentaires</t>
  </si>
  <si>
    <t>Observations médicales du professionnel de santé qui réalise l'interrogatoire (texte libre)
Champ à utiliser pour aggréger l'ensemble des antécédents /traitements/allergies du patient si les catégories ne sont pas disctinctes dans le LRM</t>
  </si>
  <si>
    <t>Antécédents</t>
  </si>
  <si>
    <t>Texte libre  pour décrire les antécédents du patient</t>
  </si>
  <si>
    <t>medicalHistory</t>
  </si>
  <si>
    <t>Traitements</t>
  </si>
  <si>
    <t>Texte libre  pour décrire les traitements du patient</t>
  </si>
  <si>
    <t>treatments</t>
  </si>
  <si>
    <t>Allergies</t>
  </si>
  <si>
    <t>Texte libre pour décrire les allergies du patient</t>
  </si>
  <si>
    <t>allergies</t>
  </si>
  <si>
    <t>Décisions</t>
  </si>
  <si>
    <t>Mesures prises par le Samu-Centre 15 en réponse à la demande exprimée en fonction de l’événement et de la situation du ou des patients</t>
  </si>
  <si>
    <t>decision</t>
  </si>
  <si>
    <t xml:space="preserve">Faut-il créer un type de message à part pour gérer le transfert du dossier médical ? </t>
  </si>
  <si>
    <t>a reporter dans autre message (partage de moyen/decision)</t>
  </si>
  <si>
    <t>Date Heure de création de la décision</t>
  </si>
  <si>
    <t>Groupe date heure de création de la décision.  L'indicateur de fuseau horaire Z ne doit pas être utilisé.</t>
  </si>
  <si>
    <t>Type de décision</t>
  </si>
  <si>
    <t>Type de décision prise</t>
  </si>
  <si>
    <t>conseil médical  / décision d’intervention / décision d’orientation et de transport / Pas de décision supplémentaire</t>
  </si>
  <si>
    <t>onglet Type de décision</t>
  </si>
  <si>
    <t>nomenclature si-samu</t>
  </si>
  <si>
    <t>nomemclature guide de regul</t>
  </si>
  <si>
    <t>Type d'orientation</t>
  </si>
  <si>
    <t>Décision(s) d'orientation prise par le médecin régulateur : 
- A transporter
- Laisser sur place</t>
  </si>
  <si>
    <t>laissé sur place, décédé, ou transporté</t>
  </si>
  <si>
    <t>orientation</t>
  </si>
  <si>
    <t>nomenclature SI SAMU NOMENC_TYPE_DEC_ORiENT</t>
  </si>
  <si>
    <t>a suppr ?</t>
  </si>
  <si>
    <t>Type de ressource/moyen</t>
  </si>
  <si>
    <t>Type de transport à engager pour la prise en charge du patient</t>
  </si>
  <si>
    <t xml:space="preserve">SMUR </t>
  </si>
  <si>
    <t>transportation</t>
  </si>
  <si>
    <t xml:space="preserve">a revalider : où mets-t-on "par ses propres moyens" ? </t>
  </si>
  <si>
    <t xml:space="preserve">nécessite plusieurs champs (organisme, base de ratachement, type vecteur, ordre vecteur, id vecteur) </t>
  </si>
  <si>
    <t>ID vecteur partagé</t>
  </si>
  <si>
    <t>Identifiant du véhicule terrestre / aérien / maritime de transport principal (= celui dans lequel se trouve le patient), permettant d'associer la décision à un véhicule spécifique + au patient.</t>
  </si>
  <si>
    <t>transportationID</t>
  </si>
  <si>
    <t>a revoir pour l'ID</t>
  </si>
  <si>
    <t>Niveau de prise en charge</t>
  </si>
  <si>
    <t>Type d’équipe (médical, paramédicale, non médicale, standard, incomplete, ...)</t>
  </si>
  <si>
    <t>Médical, paramédical, secouriste</t>
  </si>
  <si>
    <t>teamCare</t>
  </si>
  <si>
    <t>onglet niveau de médicalisation</t>
  </si>
  <si>
    <t>Destination</t>
  </si>
  <si>
    <t>destination</t>
  </si>
  <si>
    <t>Voir pour  liaison avec les moyens mobilisés ?</t>
  </si>
  <si>
    <t>Type de destination</t>
  </si>
  <si>
    <t>Indique le type de destination de la ressource : service d’urgences d’un Etablissement de santé, autres services d’un établissement de santé, cabinet d’un professionnel de santé, domicile personnel, EPHAD ou long séjour, autre</t>
  </si>
  <si>
    <t>ENUM: service d’urgences d’un Etablissement de santé, autres services d’un établissement de santé, cabinet d’un professionnel de santé, domicile personnel, EPHAD ou long séjour, autre</t>
  </si>
  <si>
    <t>Localisation de la destination</t>
  </si>
  <si>
    <t># Voir type location</t>
  </si>
  <si>
    <t>destinationLocation</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</si>
  <si>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</si>
  <si>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</si>
  <si>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d'une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</si>
  <si>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</si>
  <si>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</si>
  <si>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</si>
  <si>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</si>
  <si>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</si>
  <si>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</si>
  <si>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</si>
  <si>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</si>
  <si>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</si>
  <si>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</si>
  <si>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</si>
  <si>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</si>
  <si>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</si>
  <si>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</si>
  <si>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</si>
  <si>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</si>
  <si>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</si>
  <si>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</si>
  <si>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</si>
  <si>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</si>
  <si>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</si>
  <si>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15-SMUR</t>
  </si>
  <si>
    <t>Identifiant de l'affaire partagé entre tous les intervenants = aux champs {organization}.{senderCaseId}.
Il doit pouvoir être généré de façon unique et décentralisée et ne présenter aucune ambiguïté. 
Il est généré par le système du partenaire récepteur de la primo-demande de secours (créateur du dossier).
Valorisation : {pays}.{domaine}.{organisation}.{structure interne}*.{unité fonctionnelle}*.{numéro de dossier}</t>
  </si>
  <si>
    <t>fr.health.samu440-DRFR15DDXAAJJJ0000</t>
  </si>
  <si>
    <t>eventId</t>
  </si>
  <si>
    <t>NR</t>
  </si>
  <si>
    <t>Numéro de requête émise</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</si>
  <si>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</si>
  <si>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</si>
  <si>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referenceVersion</t>
  </si>
  <si>
    <t>agent</t>
  </si>
  <si>
    <t>Requérant</t>
  </si>
  <si>
    <t>administrativeFile</t>
  </si>
  <si>
    <t>REGEX: P[0-9]{1,3}[YMWD]</t>
  </si>
  <si>
    <t>Interrogatoire médical</t>
  </si>
  <si>
    <t>ID partagé du patient concerné par la décision, lorsque le patient existe et est identifié</t>
  </si>
  <si>
    <t xml:space="preserve">Identifiant de la ou des demandes de concours </t>
  </si>
  <si>
    <t>concoursRequest</t>
  </si>
  <si>
    <t xml:space="preserve">Identifiant du véhicule terrestre / aérien / maritime de transport principal (= celui dans lequel se trouve le patient), permettant d'associer la décision à un véhicule spécifique + au patient. </t>
  </si>
  <si>
    <t>emsi</t>
  </si>
  <si>
    <t> </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</si>
  <si>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</si>
  <si>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</si>
  <si>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</si>
  <si>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</si>
  <si>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</si>
  <si>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</si>
  <si>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</si>
  <si>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</si>
  <si>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Cardinalité NEW</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</si>
  <si>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</si>
  <si>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</si>
  <si>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</si>
  <si>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</si>
  <si>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</si>
  <si>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</si>
  <si>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</si>
  <si>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</si>
  <si>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</si>
  <si>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</si>
  <si>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</si>
  <si>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</si>
  <si>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</si>
  <si>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</si>
  <si>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</si>
  <si>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</si>
  <si>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</si>
  <si>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</si>
  <si>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</si>
  <si>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</si>
  <si>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</si>
  <si>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</si>
  <si>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</si>
  <si>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</si>
  <si>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</si>
  <si>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</si>
  <si>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</si>
  <si>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de l'organisation (champ organization du message RC-EDA) suivi de l'identifiant local de l'affaire du partenaire requérant (champ senderCaseId du message RC-EDA).
{pays}.{domaine}.{organisation}.{structure interne}*.{unité fonctionnelle}*-{numéro de dossier}</t>
  </si>
  <si>
    <t>fr.health.samu440.DRFR15DDXAAJJJ0000</t>
  </si>
  <si>
    <t>Rôle du lien</t>
  </si>
  <si>
    <t>Optionnel : à valoriser avec la constante "SPRSDS" pour un message EMSI, incluant des missions RDC et/ou OPG et avec le libellé "ADDSTO" pour un message EMSI, incluant uniquement qu'une demande de concours (EMSI-DC).</t>
  </si>
  <si>
    <t>Define the relation of the linked EMSI.</t>
  </si>
  <si>
    <t>ADDSTO</t>
  </si>
  <si>
    <t>LINK_ROLE</t>
  </si>
  <si>
    <t>ENUM: ADDSTO, SPRSDS</t>
  </si>
  <si>
    <t>Niveau</t>
  </si>
  <si>
    <t>A valoriser avec la valeur constante "OPR" dans le cadre d'un message EMSI, incluant une mission OPG</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</si>
  <si>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</si>
  <si>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</si>
  <si>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</si>
  <si>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</si>
  <si>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</si>
  <si>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</si>
  <si>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</si>
  <si>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</si>
  <si>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</si>
  <si>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</si>
  <si>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</si>
  <si>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</si>
  <si>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</si>
  <si>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</si>
  <si>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</si>
  <si>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</si>
  <si>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</si>
  <si>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</si>
  <si>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</si>
  <si>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</si>
  <si>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{pays}.{domaine}.{organisation}.{structure interne}*.{unité fonctionnelle}*.</t>
  </si>
  <si>
    <t>The unique identifier of an organization element.</t>
  </si>
  <si>
    <t>ORG_ID</t>
  </si>
  <si>
    <t>ID d'utilisateur de l'origine</t>
  </si>
  <si>
    <t xml:space="preserve">Optionnel, identifiant de l'opérateur du service à l'origine de l'EMSI, qui gère l'opération. 
Ce champ peut être différent du calltakerId du message RC-EDA. </t>
  </si>
  <si>
    <t xml:space="preserve">It provides the unique identifier of the user who created the EMSI. </t>
  </si>
  <si>
    <t>USER_ID</t>
  </si>
  <si>
    <t xml:space="preserve">Nom Origine </t>
  </si>
  <si>
    <t>Optionnel, A constituer par le rédacteur pour être intelligible (exemple [structure] [code département]).
Ce champ n'est pas normé obligatoirement. Chaque service décide de la structure de son nom d'origine.</t>
  </si>
  <si>
    <t>It provides the name which identifies the agency and the EMSI node.
NOTE: Subsequently, other information such as contact point,
telephone number or address can be provided in this element.</t>
  </si>
  <si>
    <t>samu 44, cgo 77, codis 78, cdau 91, les pompiers du 23</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</si>
  <si>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</si>
  <si>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</si>
  <si>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</si>
  <si>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</si>
  <si>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</si>
  <si>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</si>
  <si>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</si>
  <si>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</si>
  <si>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</si>
  <si>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</si>
  <si>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</si>
  <si>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</si>
  <si>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</si>
  <si>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</si>
  <si>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</si>
  <si>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</si>
  <si>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</si>
  <si>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</si>
  <si>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</si>
  <si>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</si>
  <si>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</si>
  <si>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</si>
  <si>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</si>
  <si>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</si>
  <si>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</si>
  <si>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A renseigner avec l'identifiant local de l'affaire dans le LRM ou NexSIS</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</si>
  <si>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</si>
  <si>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</si>
  <si>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</si>
  <si>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</si>
  <si>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</si>
  <si>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 partagé</t>
  </si>
  <si>
    <t>A renseigner avec l'identifiant de l'organisation (champ organization du message RC-EDA) suivi de l'identifiant local de l'affaire du partenaire requérant (champ senderCaseId du message RC-EDA).
{pays}.{domaine}.{organisation}.{structure interne}*.{unité fonctionnelle}*.{numéro de dossier}
NB : Si l'initiateur du partage de dossier est le même que l'initiateur du message EMSI, l'EVENT.ID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</si>
  <si>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</si>
  <si>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</si>
  <si>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</si>
  <si>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</si>
  <si>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</si>
  <si>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</si>
  <si>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</si>
  <si>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</si>
  <si>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</si>
  <si>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</si>
  <si>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</si>
  <si>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</si>
  <si>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</si>
  <si>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</si>
  <si>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</si>
  <si>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</si>
  <si>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</si>
  <si>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</si>
  <si>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</si>
  <si>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</si>
  <si>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</si>
  <si>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</si>
  <si>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</si>
  <si>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</si>
  <si>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</si>
  <si>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</si>
  <si>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</si>
  <si>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</si>
  <si>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</si>
  <si>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</si>
  <si>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</si>
  <si>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</si>
  <si>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</si>
  <si>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</si>
  <si>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</si>
  <si>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</si>
  <si>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</si>
  <si>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</si>
  <si>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</si>
  <si>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</si>
  <si>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</si>
  <si>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</si>
  <si>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</si>
  <si>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</si>
  <si>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</si>
  <si>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</si>
  <si>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</si>
  <si>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</si>
  <si>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</si>
  <si>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</si>
  <si>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</si>
  <si>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</si>
  <si>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</si>
  <si>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</si>
  <si>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</si>
  <si>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</si>
  <si>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</si>
  <si>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</si>
  <si>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</si>
  <si>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</si>
  <si>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</si>
  <si>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</si>
  <si>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</si>
  <si>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</si>
  <si>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</si>
  <si>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</si>
  <si>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</si>
  <si>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</si>
  <si>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</si>
  <si>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</si>
  <si>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</si>
  <si>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</si>
  <si>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</si>
  <si>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</si>
  <si>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Le format est le suivant {pays}.{domaine}.{organisation}.{structure interne}*.{unité fonctionnelle}*.
NB : ce champ (EVENT.REFERENCE.ORG_ID) ne peut pas être le même que le champ CONTEXT.LINK.ID ou EVENT.ID</t>
  </si>
  <si>
    <t>Defines the unique identifier for a node creating the EMSI.
If the element OTHER_EVENT_ID is provided.</t>
  </si>
  <si>
    <t>fr.fire.cgo044</t>
  </si>
  <si>
    <t>ID des autres event</t>
  </si>
  <si>
    <t>Indique d'autres identifiants utilisés pour l'affaire dans le système partenaire.
A renseigner avec l'identifiant de l'organisation suivi de l'identifiant local de l'affaire du partenaire dans son système.
{pays}.{domaine}.{organisation}.{structure interne}*.{unité fonctionnelle}*-{numéro de dossier}</t>
  </si>
  <si>
    <t>States the identifiers for the same event, used by other agencies.</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</si>
  <si>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</si>
  <si>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</si>
  <si>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</si>
  <si>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</si>
  <si>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</si>
  <si>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</si>
  <si>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</si>
  <si>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</si>
  <si>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</si>
  <si>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</si>
  <si>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</si>
  <si>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</si>
  <si>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</si>
  <si>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</si>
  <si>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</si>
  <si>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</si>
  <si>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</si>
  <si>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</si>
  <si>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</si>
  <si>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</si>
  <si>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Triage 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</si>
  <si>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</si>
  <si>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</si>
  <si>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Triage Vert</t>
  </si>
  <si>
    <t>Provides the number of casualties at the “GREEN” priority level in the current context. Treatment is less urgent in this category and can be deferred if there are other casualties requiring limited treatment or evac- uation assets.</t>
  </si>
  <si>
    <t>TRIAGEGREEN</t>
  </si>
  <si>
    <t>Triage 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</si>
  <si>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</si>
  <si>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</si>
  <si>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</si>
  <si>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</si>
  <si>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</si>
  <si>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</si>
  <si>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</si>
  <si>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</si>
  <si>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</si>
  <si>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</si>
  <si>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</si>
  <si>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</si>
  <si>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</si>
  <si>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</si>
  <si>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</si>
  <si>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</si>
  <si>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</si>
  <si>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</si>
  <si>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</si>
  <si>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</si>
  <si>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</si>
  <si>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</si>
  <si>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</si>
  <si>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</si>
  <si>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</si>
  <si>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</si>
  <si>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</si>
  <si>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</si>
  <si>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</si>
  <si>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</si>
  <si>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</si>
  <si>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</si>
  <si>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</si>
  <si>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</si>
  <si>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</si>
  <si>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</si>
  <si>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</si>
  <si>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</si>
  <si>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</si>
  <si>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</si>
  <si>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</si>
  <si>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</si>
  <si>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</si>
  <si>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</si>
  <si>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</si>
  <si>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</si>
  <si>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</si>
  <si>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</si>
  <si>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</si>
  <si>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</si>
  <si>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</si>
  <si>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</si>
  <si>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</si>
  <si>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</si>
  <si>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</si>
  <si>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</si>
  <si>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</si>
  <si>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</si>
  <si>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</si>
  <si>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</si>
  <si>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</si>
  <si>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 entre −90 and +90</t>
  </si>
  <si>
    <t>Defines the latitude of the point in the provided coordinate system.</t>
  </si>
  <si>
    <t>47.221866</t>
  </si>
  <si>
    <t>LAT</t>
  </si>
  <si>
    <t>Optionnel. Dans le cas où aucun LOC_ID n'est transféré, permet de localiser le lieu d'intervention souhaité
dernière coordonnée y  connue de la ressource
entre −180 and +180</t>
  </si>
  <si>
    <t>Defines the longitude of the point in the provided coordinate system.</t>
  </si>
  <si>
    <t>-1.575807</t>
  </si>
  <si>
    <t>LONG</t>
  </si>
  <si>
    <t>Altitude</t>
  </si>
  <si>
    <t xml:space="preserve">Optionnel. Dans le cas où aucun LOC_ID n'est transféré, permet de localiser le lieu d'intervention souhaité
dernière coordonnée z  connue de la ressource, en mètres sans bornes
</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</si>
  <si>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</si>
  <si>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</si>
  <si>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</si>
  <si>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</si>
  <si>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</si>
  <si>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</si>
  <si>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</si>
  <si>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</si>
  <si>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</si>
  <si>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</si>
  <si>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</si>
  <si>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</si>
  <si>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</si>
  <si>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</si>
  <si>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</si>
  <si>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</si>
  <si>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</si>
  <si>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</si>
  <si>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</si>
  <si>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</si>
  <si>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</si>
  <si>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</si>
  <si>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</si>
  <si>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</si>
  <si>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</si>
  <si>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</si>
  <si>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</si>
  <si>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</si>
  <si>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</si>
  <si>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{pays}.{domaine}.{organisation}.{structure interne}*.{unité fonctionnelle}*.</t>
  </si>
  <si>
    <t>Defines the unique identifier of the node which controls the mission. It can be omitted if the mission is controlled by the node which provides the EMSI.</t>
  </si>
  <si>
    <t>fr.fire.cgo440</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</si>
  <si>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</si>
  <si>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</si>
  <si>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</si>
  <si>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</si>
  <si>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</si>
  <si>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</si>
  <si>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</si>
  <si>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</si>
  <si>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</si>
  <si>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</si>
  <si>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</si>
  <si>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</si>
  <si>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</si>
  <si>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</si>
  <si>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</si>
  <si>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</si>
  <si>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</si>
  <si>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</si>
  <si>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</si>
  <si>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</si>
  <si>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</si>
  <si>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</si>
  <si>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</si>
  <si>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</si>
  <si>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</si>
  <si>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</si>
  <si>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</si>
  <si>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</si>
  <si>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</si>
  <si>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</si>
  <si>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</si>
  <si>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</si>
  <si>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</si>
  <si>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</si>
  <si>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</si>
  <si>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</si>
  <si>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</si>
  <si>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</si>
  <si>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</si>
  <si>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</si>
  <si>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</si>
  <si>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</si>
  <si>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</si>
  <si>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</si>
  <si>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</si>
  <si>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</si>
  <si>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</si>
  <si>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</si>
  <si>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</si>
  <si>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</si>
  <si>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</si>
  <si>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</si>
  <si>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</si>
  <si>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</si>
  <si>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</si>
  <si>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</si>
  <si>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</si>
  <si>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</si>
  <si>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</si>
  <si>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</si>
  <si>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</si>
  <si>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</si>
  <si>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</si>
  <si>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</si>
  <si>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</si>
  <si>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</si>
  <si>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</si>
  <si>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</si>
  <si>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</si>
  <si>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</si>
  <si>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</si>
  <si>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</si>
  <si>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</si>
  <si>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t>
  </si>
  <si>
    <t>Defines the unique identifier of the node which controls the resource. It can be omitted if the resource is controlled by the node which provides the EMSI.</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</si>
  <si>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</si>
  <si>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</si>
  <si>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</si>
  <si>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</si>
  <si>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</si>
  <si>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</si>
  <si>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</si>
  <si>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</si>
  <si>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</si>
  <si>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</si>
  <si>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</si>
  <si>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</si>
  <si>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</si>
  <si>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</si>
  <si>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</si>
  <si>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</si>
  <si>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</si>
  <si>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</si>
  <si>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</si>
  <si>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current, on a la date</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</si>
  <si>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</si>
  <si>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</si>
  <si>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</si>
  <si>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</si>
  <si>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</si>
  <si>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</si>
  <si>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</si>
  <si>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</si>
  <si>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</si>
  <si>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</si>
  <si>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</si>
  <si>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</si>
  <si>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</si>
  <si>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</si>
  <si>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</si>
  <si>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</si>
  <si>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</si>
  <si>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</si>
  <si>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</si>
  <si>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</si>
  <si>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</si>
  <si>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</si>
  <si>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</si>
  <si>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</si>
  <si>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</si>
  <si>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</si>
  <si>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</si>
  <si>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</si>
  <si>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</si>
  <si>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</si>
  <si>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</si>
  <si>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</si>
  <si>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</si>
  <si>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</si>
  <si>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</si>
  <si>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</si>
  <si>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</si>
  <si>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Bilan Patient/Victime</t>
  </si>
  <si>
    <t>15-ATSU</t>
  </si>
  <si>
    <t>Identifiant affaire/dossier partagé</t>
  </si>
  <si>
    <t>Date et heure du bilan initial</t>
  </si>
  <si>
    <t>Lien URL du bilan</t>
  </si>
  <si>
    <t>url</t>
  </si>
  <si>
    <t>PDF du bilan</t>
  </si>
  <si>
    <t>pdf</t>
  </si>
  <si>
    <t>Electrocardiogramme</t>
  </si>
  <si>
    <t>ecg</t>
  </si>
  <si>
    <t>Autres</t>
  </si>
  <si>
    <t>Identité patient/victime</t>
  </si>
  <si>
    <t>Identifiant technique du patient pour permettre les rapprochements d'info</t>
  </si>
  <si>
    <t>fr.health.samu440.DRFR15DDXAAJJJ0000.P01</t>
  </si>
  <si>
    <t>sharedId</t>
  </si>
  <si>
    <t>ID patient local</t>
  </si>
  <si>
    <t>P12342</t>
  </si>
  <si>
    <t>localId</t>
  </si>
  <si>
    <t>Nom du patient</t>
  </si>
  <si>
    <t>Prénom du patient</t>
  </si>
  <si>
    <t>Age valeur</t>
  </si>
  <si>
    <t xml:space="preserve">La date de naissance n'est pas tout le temps connu, cette donnée permet d'indiquer un âge entier. </t>
  </si>
  <si>
    <t>Sexe</t>
  </si>
  <si>
    <t>Nationalité</t>
  </si>
  <si>
    <t>Nationalité du patient</t>
  </si>
  <si>
    <t>nationality</t>
  </si>
  <si>
    <t>Adresse de résidence</t>
  </si>
  <si>
    <t>residentialAddress</t>
  </si>
  <si>
    <t>Code INSEE de la commune de résidence</t>
  </si>
  <si>
    <t xml:space="preserve">Code INSEE de la commune actuelle sur la base du Code Officiel géographique en vigueur. Obligatoire si le nom de la commune est renseigné.
Le Code INSEE peut également précisé le pays de résidence, si étranger. </t>
  </si>
  <si>
    <t>Levallois-Perret</t>
  </si>
  <si>
    <t>cityCode</t>
  </si>
  <si>
    <t>Lieu d'intervention</t>
  </si>
  <si>
    <t>Evaluation / Diagnostic médical</t>
  </si>
  <si>
    <t>evaluation</t>
  </si>
  <si>
    <t>N</t>
  </si>
  <si>
    <t>Anamnèse</t>
  </si>
  <si>
    <t>medicalSummary</t>
  </si>
  <si>
    <t>summary</t>
  </si>
  <si>
    <t>Texte libre  pour décrire les antécédents du patient et familiaux</t>
  </si>
  <si>
    <t>Symptômes</t>
  </si>
  <si>
    <t>Texte libre pour décrire les symptomes actuels du patient</t>
  </si>
  <si>
    <t>symptoms</t>
  </si>
  <si>
    <t>Signes vitaux</t>
  </si>
  <si>
    <t>vital</t>
  </si>
  <si>
    <t>Fréquence cardiaque</t>
  </si>
  <si>
    <t>Exprimée en battements par minute (bpm)</t>
  </si>
  <si>
    <t>heartRate</t>
  </si>
  <si>
    <t>Pouls Régulier</t>
  </si>
  <si>
    <t xml:space="preserve">Si vrai, le poul est régulier, si faux, le poux est irrégulier. </t>
  </si>
  <si>
    <t>pulse</t>
  </si>
  <si>
    <t>boolean</t>
  </si>
  <si>
    <t xml:space="preserve">Pression artérielle </t>
  </si>
  <si>
    <t>bloodPressure</t>
  </si>
  <si>
    <t>Saturation en oxygène</t>
  </si>
  <si>
    <t>oxygen</t>
  </si>
  <si>
    <t>Fréquence respiratoire</t>
  </si>
  <si>
    <t>La fréquence respiratoire est généralement exprimée en nombre de respirations par minute (rpm)</t>
  </si>
  <si>
    <t>breathingRate</t>
  </si>
  <si>
    <t>Coloration cutanée</t>
  </si>
  <si>
    <t>skinTone</t>
  </si>
  <si>
    <t>Sueurs</t>
  </si>
  <si>
    <t>sweats</t>
  </si>
  <si>
    <t>Température</t>
  </si>
  <si>
    <t>temperature</t>
  </si>
  <si>
    <t>Hemoglucotest</t>
  </si>
  <si>
    <t>glucoseTest</t>
  </si>
  <si>
    <t>Bilan neurologique</t>
  </si>
  <si>
    <t>neuroSummmary</t>
  </si>
  <si>
    <t>Conscience</t>
  </si>
  <si>
    <t>conscious</t>
  </si>
  <si>
    <t>Déficit neurologique/moteur</t>
  </si>
  <si>
    <t>Aigu, brutal, sensitif ou moteur</t>
  </si>
  <si>
    <t>motorDeficit</t>
  </si>
  <si>
    <t>Etat pupillair</t>
  </si>
  <si>
    <t>Symétrique, asymétrique, myosis, intermédiaire, mydraise</t>
  </si>
  <si>
    <t>eyes</t>
  </si>
  <si>
    <t>Désorienté</t>
  </si>
  <si>
    <t>Disoriented</t>
  </si>
  <si>
    <t>Convulsions en cours</t>
  </si>
  <si>
    <t>seizures</t>
  </si>
  <si>
    <t>Confusion</t>
  </si>
  <si>
    <t>confusion</t>
  </si>
  <si>
    <t>Perte de connaissance initiale</t>
  </si>
  <si>
    <t>initiallyUnconscious</t>
  </si>
  <si>
    <t>Hémorragie en cours</t>
  </si>
  <si>
    <t>hemorrhage</t>
  </si>
  <si>
    <t>Ventilation en cours</t>
  </si>
  <si>
    <t>ventilation</t>
  </si>
  <si>
    <t>Obstruction des voies respiratoires</t>
  </si>
  <si>
    <t>airwayObstruction</t>
  </si>
  <si>
    <t>Actes réalisés</t>
  </si>
  <si>
    <t>Position d'attente</t>
  </si>
  <si>
    <t>Tredelenburg, assis, PLS, Hamac</t>
  </si>
  <si>
    <t>waitingState</t>
  </si>
  <si>
    <t>Oxygène</t>
  </si>
  <si>
    <t>Lunettes, masques, débit</t>
  </si>
  <si>
    <t>Pansement</t>
  </si>
  <si>
    <t>bandage</t>
  </si>
  <si>
    <t>Garrot</t>
  </si>
  <si>
    <t>Attelles</t>
  </si>
  <si>
    <t>splint</t>
  </si>
  <si>
    <t>Immobilisation</t>
  </si>
  <si>
    <t>static</t>
  </si>
  <si>
    <t>Massage cardiaque externe</t>
  </si>
  <si>
    <t>Le geste d'urgence "Massage cardiaque externe" a-t-il été réalisé par l'équipe secouriste ?</t>
  </si>
  <si>
    <t>Ventilation artificielle</t>
  </si>
  <si>
    <t>Le geste d'urgence "Ventilation artificielle" a-t-il été réalisé par l'équipe secouriste ?</t>
  </si>
  <si>
    <t>Arrêt hémorragie grave</t>
  </si>
  <si>
    <t>Le geste d'urgence "Arrêt hémorragie grave" a-t-il été réalisé par l'équipe secouriste ?</t>
  </si>
  <si>
    <t>Choc électrique par défibrillation</t>
  </si>
  <si>
    <t>Le geste d'urgence "Choc électrique par défibrillation" a-t-il été réalisé par l'équipe secouriste ?</t>
  </si>
  <si>
    <t>Désobstruction des voies aériennes supérieures</t>
  </si>
  <si>
    <t>Le geste d'urgence "Désobstruction des voies aériennes supérieures" a-t-il été réalisé par l'équipe secouriste ?</t>
  </si>
  <si>
    <t>Dégagement d'urgence</t>
  </si>
  <si>
    <t>Le geste d'urgence "Dégagement d'urgence" a-t-il été réalisé par l'équipe secouriste ?</t>
  </si>
  <si>
    <t>Aucun geste d'urgence réalisé</t>
  </si>
  <si>
    <t>Le geste d'urgence "Aucun geste d'urgence réalisé" a-t-il été réalisé par l'équipe secouriste ?</t>
  </si>
  <si>
    <t>Orientation</t>
  </si>
  <si>
    <t>Orientation souhaitée par le SMUR</t>
  </si>
  <si>
    <t>wiish</t>
  </si>
  <si>
    <t>orientationWish</t>
  </si>
  <si>
    <t xml:space="preserve">Indique si le patient est transporté ou non (Sans transport associé / avec transport associé). 
A valoriser par un code de la nomenclature NOMENC_DEVENIR_PAT_200622.
Si le type d'orientation est sans transport associé, les objets Destination et Transport sont facultatifs. </t>
  </si>
  <si>
    <t>Niveau de médicalisation souhaitée</t>
  </si>
  <si>
    <t>Destination souhaitée</t>
  </si>
  <si>
    <t>Type de moyen</t>
  </si>
  <si>
    <t>resourceCategory</t>
  </si>
  <si>
    <t>Type de vecteur</t>
  </si>
  <si>
    <t>resourceType</t>
  </si>
  <si>
    <t>resourceId</t>
  </si>
  <si>
    <t>Date et heure de départ vers la destination</t>
  </si>
  <si>
    <t>startTime</t>
  </si>
  <si>
    <t xml:space="preserve">Date et heure d’arrivée vers la destination </t>
  </si>
  <si>
    <t>arrivalTime</t>
  </si>
  <si>
    <t>Numéro de l’affaire</t>
  </si>
  <si>
    <t>Donnée Générée par NexSIS. Donnée obligatoire pour permettre le lien entre le CRSS et l'affaire</t>
  </si>
  <si>
    <t>Oui</t>
  </si>
  <si>
    <t>Numéro de l’opération</t>
  </si>
  <si>
    <t xml:space="preserve">Donnée générée par NexSIS. N’est pas obligatoire mais permet une facilité de traitement </t>
  </si>
  <si>
    <t xml:space="preserve">Identifiant victime SGV </t>
  </si>
  <si>
    <t xml:space="preserve">Identifiant unique généré par le SGV lorsque la prise en charge y est déclarée. Cette donnée permet de remonter jusque la donnée au sein du SGV pour la tracabilité. </t>
  </si>
  <si>
    <t>Nom de la victime</t>
  </si>
  <si>
    <t>Non</t>
  </si>
  <si>
    <t>Prénom de la victime</t>
  </si>
  <si>
    <t>Sexe de la victime (H / F / I)</t>
  </si>
  <si>
    <t>Nationnalité de la victime (format ISO 3166 Alpha-3)</t>
  </si>
  <si>
    <t>Date de naissance / Âge</t>
  </si>
  <si>
    <t>Date de naissance de la victime ou age approximatif si la date de naissance est inconnue. La date de naissance est spécifiée au format ISO8601 (YYYY-MM-DD), l'âge approxiamtif est spécifié au format ISO8601 (P42Y pour un age approximatif de 42 ans).</t>
  </si>
  <si>
    <t>Type de pathologie</t>
  </si>
  <si>
    <t>Maladie / Intoxication / Traumatisme / Non défini</t>
  </si>
  <si>
    <t>Gravité à l'arrivée des secours</t>
  </si>
  <si>
    <t>Catégorisation SINUS. Saisie par le chef d'agrès dans l'interface CRSS NexSIS dans la majorité des cas. (NC / IMP / UR / UA / DCD)</t>
  </si>
  <si>
    <t>Gravité à la fin de prise en charge</t>
  </si>
  <si>
    <t>Catégorisation SINUS (NC / IMP / UR / UA / DCD)</t>
  </si>
  <si>
    <t>Table de référence des destinations à définir. Cette destination doit également être hors FINESS (Poste médical avancé, laissé sur place, services hospitaliers frontaliers...)</t>
  </si>
  <si>
    <t>Date et heure de départ vers le centre hospitalier</t>
  </si>
  <si>
    <t>Format ISO8601 (YYYY-MM-DD'T'HH:mm:ss.sss'Z') en UTC</t>
  </si>
  <si>
    <t>date-time</t>
  </si>
  <si>
    <t>Date et heure d’arrivée vers le centre hospitalier</t>
  </si>
  <si>
    <t>Agent public - Service</t>
  </si>
  <si>
    <t>Catégorie de victime : sapeur-pompier, policier, gendarme, médecin, …</t>
  </si>
  <si>
    <t>Agent public - Unité</t>
  </si>
  <si>
    <t>Organisation d'attachement : BSPP, DSPAP 94, SAMU 83, …</t>
  </si>
  <si>
    <t>Agent public - Matricule</t>
  </si>
  <si>
    <t>Identifiant chiffré de l’agent</t>
  </si>
  <si>
    <t>Numéro de l’évènement</t>
  </si>
  <si>
    <t>Défini le numéro affilié à une situation spécifique (notion d'évènement NexSIS).</t>
  </si>
  <si>
    <t>Numéro du bracelet</t>
  </si>
  <si>
    <t>Contenu du bracelet lu.</t>
  </si>
  <si>
    <t>Type de bracelet</t>
  </si>
  <si>
    <t>SINUS, SIS, autre.</t>
  </si>
  <si>
    <t xml:space="preserve">Type de vecteur </t>
  </si>
  <si>
    <t>Liste déroulante des véhicules possibles pour le transport (VSAV, AP, SMUR, ...).</t>
  </si>
  <si>
    <t>Identifiant du vecteur effectuant le transport</t>
  </si>
  <si>
    <t>Identifiant libre identifiant le vecteur.</t>
  </si>
  <si>
    <t>Vecteur Médicalisation</t>
  </si>
  <si>
    <t>Stocke true si le vecteur était médicalisé, false sinon.</t>
  </si>
  <si>
    <t>Vecteur Paramédicalisation</t>
  </si>
  <si>
    <t>Stocke true si le vecteur était paramédicalisé, false sinon.</t>
  </si>
  <si>
    <t>RPIS</t>
  </si>
  <si>
    <t>Evènement</t>
  </si>
  <si>
    <t>Identifiant du SAMU qui engage le SMUR</t>
  </si>
  <si>
    <t xml:space="preserve">Numéro du SAMU régulant la mission SMUR. 
A valoriser par fr.health.samuXXX :  {pays}.{domaine}.{organisation}
</t>
  </si>
  <si>
    <t>samuId</t>
  </si>
  <si>
    <t>Identifiant du dossier de régulation médicale (DRM)</t>
  </si>
  <si>
    <t>Numéro du dossier SAMU à l’origine de la mission SMUR
A valoriser par DRFR15DDXAAJJJ00000 : 
- DR = désignation d'un dossier sous forme abrégée,
- FR : désigne le pays (FR = France),
- 15 : désigne le fait que le dossier a été pris en charge par un SAMU / SAS,
- DD : désigne le département où est situé le SAMU / SAS qui a traité le dossier,
- X : lettre désignant le SAMU / SAS en cas de pluralité de SAMU / SAS sur le même département ou le troisième chiffre des DOM,
- AA : année durant laquelle l’appel a été créé,
- JJJ : désigne le jour de l'année (de 1j à 365j),\par
- 00000 : numéro d’ordre chronologique du dossier dans la journée de référence ci-dessus.</t>
  </si>
  <si>
    <t>DRFR15DDXAAJJJ00000</t>
  </si>
  <si>
    <t>fileId</t>
  </si>
  <si>
    <t>Date et heure de création du dossier de régulation</t>
  </si>
  <si>
    <t>s'exprime au format ISO 8601 YYY-MM-DDThh:mm:ss</t>
  </si>
  <si>
    <t>creationDate</t>
  </si>
  <si>
    <t>Date et heure de la décision d’engagement du SMUR</t>
  </si>
  <si>
    <t>decisionDate</t>
  </si>
  <si>
    <t>Type d'évènement</t>
  </si>
  <si>
    <t>Sortie SUR primaire, Sortie SMUR Secondaire, Transfert TIIH</t>
  </si>
  <si>
    <t>S, P, T</t>
  </si>
  <si>
    <t>Annulation</t>
  </si>
  <si>
    <t>cancelled</t>
  </si>
  <si>
    <t>Annulation de l'intervention</t>
  </si>
  <si>
    <t>Indique si la mission est annulée</t>
  </si>
  <si>
    <t>VRAI, FAUX</t>
  </si>
  <si>
    <t>cancelStatus</t>
  </si>
  <si>
    <t>Date et heure de l'annulation</t>
  </si>
  <si>
    <t>Régulation médicale</t>
  </si>
  <si>
    <t>regulation</t>
  </si>
  <si>
    <t>Circonstances ayant données lieu à l’appel</t>
  </si>
  <si>
    <t>A valoriser avec un code de la nomenclature TYPCIRCO</t>
  </si>
  <si>
    <t>AVPAR</t>
  </si>
  <si>
    <t>Libellé court</t>
  </si>
  <si>
    <t>A valoriser avec le libellé de la nomenclature TYPCIRCO.
Dans le cas où un système n'est pas en mesure de reconnaître un code, il peut directement afficher le libellé qui est obligatoirement fourni avec le code.</t>
  </si>
  <si>
    <t>Accident routier</t>
  </si>
  <si>
    <t xml:space="preserve">Motif de recours </t>
  </si>
  <si>
    <t>A valoriser avec un code la nomenclature TYPMDR</t>
  </si>
  <si>
    <t>DVDETRES</t>
  </si>
  <si>
    <t>A valoriser avec le libellé de la nomenclature TYPMDR.
Dans le cas où un système n'est pas en mesure de reconnaître un code, il peut directement afficher le libellé qui est obligatoirement fourni avec le code.</t>
  </si>
  <si>
    <t>Dét respiratoire</t>
  </si>
  <si>
    <t>Niveau de médicalisation initial</t>
  </si>
  <si>
    <t xml:space="preserve">Type d’équipe (médical, paramédicale, secouriste).
A valoriser par un code de la nomenclature NIVSOIN.
Permet de déduire avec la donnée "niveau de médicalisation du transport", si un UMHP est devenu un SMUR. </t>
  </si>
  <si>
    <t>PARAMED</t>
  </si>
  <si>
    <t>initialTeamCare</t>
  </si>
  <si>
    <t>Identifiant Patient</t>
  </si>
  <si>
    <r>
      <t xml:space="preserve">Identifiant unique du patient. 
A valoriser par {ID du SAMU qui engage le SMUR}.{ID du DRM}.P{numéro d’ordre chronologique} : </t>
    </r>
    <r>
      <rPr>
        <i/>
        <sz val="11"/>
        <color theme="1"/>
        <rFont val="Calibri"/>
        <family val="2"/>
        <scheme val="minor"/>
      </rPr>
      <t>fr.health.samu690.DRFR15DDXAAJJJ00001.P01</t>
    </r>
  </si>
  <si>
    <t>fr.health.samu690.DRFR15DDXAAJJJ00001.P01</t>
  </si>
  <si>
    <t>Sexe du patient, suivant le libellé court de la nomenclature SEXE</t>
  </si>
  <si>
    <t>NIR</t>
  </si>
  <si>
    <t>Numéro d'inscription au Répertoire ou numéro de sécurité sociale, unique, transmis par la CNIL</t>
  </si>
  <si>
    <t>278112B050002</t>
  </si>
  <si>
    <t>nir</t>
  </si>
  <si>
    <t>Intervention</t>
  </si>
  <si>
    <t>intervention</t>
  </si>
  <si>
    <t>Type de lieu d’intervention</t>
  </si>
  <si>
    <t>A valoriser avec un code de la nomenclature TYPELIEU.</t>
  </si>
  <si>
    <t>DOMPAV</t>
  </si>
  <si>
    <t xml:space="preserve">FINESS géographique de l’établissement </t>
  </si>
  <si>
    <t>Finess géographique et juridique de l’établissement de santé</t>
  </si>
  <si>
    <t>finessGeo</t>
  </si>
  <si>
    <t xml:space="preserve">Unité fonctionnelle </t>
  </si>
  <si>
    <t>Unité fonctionnelle de l'établissement de santé</t>
  </si>
  <si>
    <t>unit</t>
  </si>
  <si>
    <t>Adresse de l'intervention</t>
  </si>
  <si>
    <t xml:space="preserve">Code INSEE de la commune actuelle sur la base du Code Officiel géographique en vigueur. Obligatoire si le nom de la commune est renseigné.
Le Code INSEE peut également précisé le pays d'intervention, si étranger. </t>
  </si>
  <si>
    <t>Composition de l'équipage</t>
  </si>
  <si>
    <t xml:space="preserve">A valoriser par O si complet et N si incomplet. 
Complet = équipe à 3 (avec infirmier), incomplet = équipe à 2 (sans infirmier), une équipe étant, à minima, composé d'un médecin et un ambulancier. </t>
  </si>
  <si>
    <t>team</t>
  </si>
  <si>
    <t>Médecin</t>
  </si>
  <si>
    <t xml:space="preserve">Permet d'identifier si un médecin compose l'équipe.
Cette donnée peut être automatiquement déduite, dès que le nom et prénom du médecin est saisi sur la tablette. </t>
  </si>
  <si>
    <t>doctor</t>
  </si>
  <si>
    <t>Infirmier</t>
  </si>
  <si>
    <t xml:space="preserve">Permet d'identifier si un infirmier compose l'équipe.
Cette donnée peut être automatiquement déduite, dès que le nom et prénom de l'infirmier est saisi sur la tablette. </t>
  </si>
  <si>
    <t>nurse</t>
  </si>
  <si>
    <t>Ambulancier/Pilote</t>
  </si>
  <si>
    <t xml:space="preserve">Permet d'identifier si un ambulancier compose l'équipe.
Cette donnée peut être automatiquement déduite, dès que le nom et prénom de l'ambulancier est saisi sur la tablette. </t>
  </si>
  <si>
    <t>driver</t>
  </si>
  <si>
    <t>Actes réalisés par le SMUR</t>
  </si>
  <si>
    <t>Précise aussi bien les actes réalisés par le SMUR sur le lieu de l'intervention à son arrivée que ceux réalisés avant son intervention. 
A valoriser avec un code de la nomenclature ACTES_SMUR.</t>
  </si>
  <si>
    <t>ABV</t>
  </si>
  <si>
    <t>actions</t>
  </si>
  <si>
    <t>Diagnostic principal SMUR</t>
  </si>
  <si>
    <t>Thésaurus SFMU-FEDORU.
A valoriser par un code de la nomenclature Diagnostic SMUR.</t>
  </si>
  <si>
    <t>R579</t>
  </si>
  <si>
    <t>Diagnostic associé  SMUR</t>
  </si>
  <si>
    <t>R578</t>
  </si>
  <si>
    <t>associatedDiagnosis</t>
  </si>
  <si>
    <t>Statuts des horaires du SMUR</t>
  </si>
  <si>
    <t>dateStatus</t>
  </si>
  <si>
    <t>resourceStatus</t>
  </si>
  <si>
    <t>Date et heure du départ de la base SMUR</t>
  </si>
  <si>
    <t>departSmur</t>
  </si>
  <si>
    <t>Date et heure de l’arrivée sur les lieux de l’intervention</t>
  </si>
  <si>
    <t>arrivedSmur</t>
  </si>
  <si>
    <t>Date et heure du départ des lieux de l’intervention</t>
  </si>
  <si>
    <t>departLocation</t>
  </si>
  <si>
    <t>Date et heure d’arrivée à destination</t>
  </si>
  <si>
    <t>ArrivedDestination</t>
  </si>
  <si>
    <t>Date et heure de disponibilité de l’équipe</t>
  </si>
  <si>
    <t>teamAvailable</t>
  </si>
  <si>
    <t>Date et heure de retour à la base SMUR</t>
  </si>
  <si>
    <t>ReturnSmur</t>
  </si>
  <si>
    <t>Décision d'orientation</t>
  </si>
  <si>
    <t>TEMP</t>
  </si>
  <si>
    <t>destinationCountry</t>
  </si>
  <si>
    <t>Pays de destination</t>
  </si>
  <si>
    <t>A valoriser par le libellé court de la nomenclature SIGLPAYS</t>
  </si>
  <si>
    <t>Catégorie de l'établissement de destination</t>
  </si>
  <si>
    <t>A valoriser par le code de la nomenclature associée</t>
  </si>
  <si>
    <t>destinationCategory</t>
  </si>
  <si>
    <t>Type d'activité de soins de l'unité fonctionnelle de destination</t>
  </si>
  <si>
    <t>A valoriser par le code de la nomenclature ActiviteOperationnelle</t>
  </si>
  <si>
    <t>healthcareType</t>
  </si>
  <si>
    <t>FINESS géographique</t>
  </si>
  <si>
    <t>FINESS géographique de l’établissement de destination (9 chiffres)</t>
  </si>
  <si>
    <t>finess</t>
  </si>
  <si>
    <t>Raison sociale de l’établissement de destination</t>
  </si>
  <si>
    <t>Raison sociale de l’entité géographique de l’établissement de destination</t>
  </si>
  <si>
    <t xml:space="preserve">Nom de l’unité </t>
  </si>
  <si>
    <t>Nom de l’unité dans laquelle est orienté le patient</t>
  </si>
  <si>
    <t>Transport</t>
  </si>
  <si>
    <t>Moyen de transport</t>
  </si>
  <si>
    <t>Précise le type de moyen engagé dans l'intervention (SMUR, TSU, HOSPIT, etc.). 
A valoriser par un code de la nomenclature TYPMOYEN.</t>
  </si>
  <si>
    <t>SMUR</t>
  </si>
  <si>
    <t>Type de vecteur de transport</t>
  </si>
  <si>
    <t>Précise le type de véhicule terrestre / aérien / maritime engagé dans l'intervention.
A valoriser par un code de la nomenclature TYPVECT.</t>
  </si>
  <si>
    <t>AR, VLM, VSAV</t>
  </si>
  <si>
    <t>Niveau de médicalisation du transport</t>
  </si>
  <si>
    <t>Type d’équipe (médical, paramédicale, secouriste).
A valoriser par un code de la nomenclature NIVSOIN.</t>
  </si>
  <si>
    <t xml:space="preserve">FINESS juridique </t>
  </si>
  <si>
    <t>FINESS juridique établissement rattachement SMUR</t>
  </si>
  <si>
    <t>finessLegal</t>
  </si>
  <si>
    <t xml:space="preserve">FINESS géographique </t>
  </si>
  <si>
    <t>FINESS géographique établissement rattachement SMUR ou antenne SMUR</t>
  </si>
  <si>
    <t>Numéro d'ordre SMUR et antenne SMUR</t>
  </si>
  <si>
    <t>Classification général, Pédiatrique et antenne SMUR</t>
  </si>
  <si>
    <t xml:space="preserve">Maintenance </t>
  </si>
  <si>
    <t>geoPositionUpdate</t>
  </si>
  <si>
    <r>
      <t xml:space="preserve">Format (ou </t>
    </r>
    <r>
      <rPr>
        <b/>
        <i/>
        <sz val="11"/>
        <color theme="0"/>
        <rFont val="Calibri"/>
        <family val="2"/>
        <scheme val="minor"/>
      </rPr>
      <t>type</t>
    </r>
    <r>
      <rPr>
        <b/>
        <sz val="11"/>
        <color theme="0"/>
        <rFont val="Calibri"/>
        <family val="2"/>
        <scheme val="minor"/>
      </rPr>
      <t>)</t>
    </r>
  </si>
  <si>
    <t>Position</t>
  </si>
  <si>
    <t>Objet de détail de la position de chaque ressource</t>
  </si>
  <si>
    <t>positionUpdate</t>
  </si>
  <si>
    <t>Identifiant de la ressource</t>
  </si>
  <si>
    <t>Identifiant unique de la ressource  dans le système du partenaire propriétaire</t>
  </si>
  <si>
    <t>76_45101#SMUR1</t>
  </si>
  <si>
    <t>Date et heure des dernières remontées d'informations de la ressource</t>
  </si>
  <si>
    <t>Date et heure de la dernière position connue</t>
  </si>
  <si>
    <t>2024-01-27T08:44:00+02:00</t>
  </si>
  <si>
    <t>Date et heure de la réception de la dernière localisation</t>
  </si>
  <si>
    <t>Date et heure de la réception de la dernière position connue dans le système de l'organisme</t>
  </si>
  <si>
    <t>2024-01-27T08:45:00+02:00</t>
  </si>
  <si>
    <t>receptionDatetime</t>
  </si>
  <si>
    <t xml:space="preserve">Permet de localiser la resource. </t>
  </si>
  <si>
    <t>Dernière coordonnée x connue de la ressource, entre −90 and +90</t>
  </si>
  <si>
    <t>Dernière coordonnée y connue de la ressource, entre −180 and +180</t>
  </si>
  <si>
    <t>Dernière coordonnée z connue de la ressource, en mètres sans bornes</t>
  </si>
  <si>
    <t>Vitesse de la ressource</t>
  </si>
  <si>
    <t>Vitesse de la ressource enregistrée, exprimée en km/h</t>
  </si>
  <si>
    <t>Direction de la ressource</t>
  </si>
  <si>
    <t>Direction de la ressource, exprimé en degrés</t>
  </si>
  <si>
    <t>cap</t>
  </si>
  <si>
    <t>Mouvement de la ressource</t>
  </si>
  <si>
    <t>Indique si la ressource est en mouvement (MOBILE) ou non (STATIQUE)</t>
  </si>
  <si>
    <t>MOBILE</t>
  </si>
  <si>
    <t>move</t>
  </si>
  <si>
    <t>ENUM: MOBILE, STATIQUE</t>
  </si>
  <si>
    <t>Etat du moteur de la ressource</t>
  </si>
  <si>
    <t>Indique si le moteur de la ressource est éteint (FAUX) ou allumé/en marche (VRAI)</t>
  </si>
  <si>
    <t>engineOn</t>
  </si>
  <si>
    <t>Etat de l'hélicoptère</t>
  </si>
  <si>
    <t>Indique si l'hélicoptère est au sol (VRAI) ou en l'air (FAUX)</t>
  </si>
  <si>
    <t>groundStatus</t>
  </si>
  <si>
    <t>Définit le statut de disponibilité d'une ressource.
- DISPONIBLE : Lorsque la ressource est disponible
- INDISPONIBLE : Lorsque la ressource n'est pas disponible, celle-ci peut être engagée ou en maintenance
- INCONNU : Lorsque le status est inconnu</t>
  </si>
  <si>
    <t>DISPONIBLE</t>
  </si>
  <si>
    <t>ENUM: DISPONIBLE, INDISPONIBLE, INCONNU</t>
  </si>
  <si>
    <t>Statut de la ressource engagée</t>
  </si>
  <si>
    <t>Précise le statut d'une ressource qui est engagée sur une mission</t>
  </si>
  <si>
    <t>PARTIE</t>
  </si>
  <si>
    <t>engagedStatus</t>
  </si>
  <si>
    <t>ENUM: ALERTEE, PARTIE, ARRIVEE_LIEU, TRANSPORT_DESTINATION, ARRIVEE_DESTINATION, FIN_MED, QUITTE_DESTINATION, RETOUR_DISPONIBLE, RETOUR_INDISPONIBLE, ARRIVEE_CENTRE</t>
  </si>
  <si>
    <t>geoResourceRequest</t>
  </si>
  <si>
    <t>Identifiant(s) de(s) ressource(s)</t>
  </si>
  <si>
    <t>Liste des ID des ressources pour lesquels le demandeur a besoin d'obtenir plus de détails</t>
  </si>
  <si>
    <t>geoResourceDetails</t>
  </si>
  <si>
    <t>Une liste d’objets Resource détaillant les ressources demandées ainsi que celles notifiées non encore décrites au demandeur</t>
  </si>
  <si>
    <t>Identifiant unique de l'organisme :  {pays}.{domaine}.{organisation}.{structure interne}*.{unité fonctionnelle}*
*données facultatives</t>
  </si>
  <si>
    <t>fr.health.samu76A</t>
  </si>
  <si>
    <t>orgId</t>
  </si>
  <si>
    <t>Nom donné à la ressource par l'organisme propriétaire. 
L'immatriculation peut être utilisée dans le nom courant des véhicules.</t>
  </si>
  <si>
    <t>SMUR 1 Rouen</t>
  </si>
  <si>
    <t>Type de ressource</t>
  </si>
  <si>
    <t>Catégorie de la ressource (SMUR, SDIS, TSU, SNP, MSPE, navire)</t>
  </si>
  <si>
    <r>
      <t xml:space="preserve">ENUM: SMUR, </t>
    </r>
    <r>
      <rPr>
        <sz val="11"/>
        <color rgb="FFFF0000"/>
        <rFont val="Calibri"/>
        <family val="2"/>
        <scheme val="minor"/>
      </rPr>
      <t>SDIS</t>
    </r>
    <r>
      <rPr>
        <sz val="11"/>
        <color rgb="FF808080"/>
        <rFont val="Calibri"/>
        <family val="2"/>
        <scheme val="minor"/>
      </rPr>
      <t>, TSU, SNP, MSPE, SHIP</t>
    </r>
  </si>
  <si>
    <t>Nature de la ressource</t>
  </si>
  <si>
    <t>Nature de la ressource (effecteur, base)</t>
  </si>
  <si>
    <t>BASE</t>
  </si>
  <si>
    <t>nature</t>
  </si>
  <si>
    <t>ENUM: EFFECTEUR, BASE</t>
  </si>
  <si>
    <t>Mobilité de la ressource</t>
  </si>
  <si>
    <t>Mobilité de la ressource (fixe, vehicule, heliporté, navire)</t>
  </si>
  <si>
    <t>VEHICULE</t>
  </si>
  <si>
    <t>mobility</t>
  </si>
  <si>
    <t xml:space="preserve">ENUM: FIXE, VEHICULE, HELICOPTERE, SHIP </t>
  </si>
  <si>
    <t>Capacité de transport d'un patient</t>
  </si>
  <si>
    <t>MEDICALE</t>
  </si>
  <si>
    <t>capacity</t>
  </si>
  <si>
    <t>ENUM: URGENCE, MEDICALE, PARAMEDICALE, INCONNUE</t>
  </si>
  <si>
    <t>contacts</t>
  </si>
  <si>
    <t>Type de contact, voir énumération associée
1. PMRADD (si RFGI disponible)
2. PHNADD pour téléphonie</t>
  </si>
  <si>
    <t>ENUM: PMRADD, PHNADD</t>
  </si>
  <si>
    <t>1. RFGI (si RFGI disponible)
2. Numéro de téléphone</t>
  </si>
  <si>
    <t>0612342536</t>
  </si>
  <si>
    <t>errorReport</t>
  </si>
  <si>
    <r>
      <t xml:space="preserve">Format (ou </t>
    </r>
    <r>
      <rPr>
        <b/>
        <i/>
        <sz val="11"/>
        <color rgb="FFFFFFFF"/>
        <rFont val="Calibri"/>
        <family val="2"/>
      </rPr>
      <t>type</t>
    </r>
    <r>
      <rPr>
        <b/>
        <sz val="11"/>
        <color rgb="FFFFFFFF"/>
        <rFont val="Calibri"/>
        <family val="2"/>
      </rPr>
      <t>)</t>
    </r>
  </si>
  <si>
    <t>Erreur</t>
  </si>
  <si>
    <t>Permet de representer un erreur à l'aide d'un code numérique et une chaine de caractéres</t>
  </si>
  <si>
    <t>errorCode</t>
  </si>
  <si>
    <t>Code d'erreur</t>
  </si>
  <si>
    <t>Code numerique represenant l'erreur</t>
  </si>
  <si>
    <t>statusCode</t>
  </si>
  <si>
    <t>Titre d'erreur</t>
  </si>
  <si>
    <t>Chaine de caracteres representant l'erreur</t>
  </si>
  <si>
    <t>NOT_ALLOWED_CONTENT_TYPE</t>
  </si>
  <si>
    <t>statusString</t>
  </si>
  <si>
    <t>Cause d'erreur</t>
  </si>
  <si>
    <t>La ou les causes d'erreur dans le message source</t>
  </si>
  <si>
    <t>The following errors have occurred:\nNot allowed content type</t>
  </si>
  <si>
    <t>errorCause</t>
  </si>
  <si>
    <t>Message source</t>
  </si>
  <si>
    <t>Message source complet</t>
  </si>
  <si>
    <t>sourceMessage</t>
  </si>
  <si>
    <t>DistributionID referencé</t>
  </si>
  <si>
    <t>DistributionID du message source</t>
  </si>
  <si>
    <t>referencedDistributionID</t>
  </si>
  <si>
    <t>info</t>
  </si>
  <si>
    <t>Information</t>
  </si>
  <si>
    <t> Champ libre permettant de transmettre des informations quelconques</t>
  </si>
  <si>
    <t>Identifiant du message référencé</t>
  </si>
  <si>
    <t>Identifiant unique du message référencé</t>
  </si>
  <si>
    <t>distributionID</t>
  </si>
  <si>
    <t>Indicateur de refus de message</t>
  </si>
  <si>
    <t>Indique si le message acquitté a été refusé</t>
  </si>
  <si>
    <t>refused</t>
  </si>
  <si>
    <t>Identifiant du message d'erreur lié</t>
  </si>
  <si>
    <t>Identifiant unique du message d'erreur lié</t>
  </si>
  <si>
    <t>errorDistributionID</t>
  </si>
  <si>
    <t>customContent</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</si>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</sst>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31">
    <font>
      <sz val="11"/>
      <color rgb="FF808080"/>
      <name val="Tahoma"/>
    </font>
    <font>
      <sz val="11"/>
      <color theme="1"/>
      <name val="Calibri"/>
      <family val="2"/>
      <scheme val="minor"/>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sz val="10"/>
      <color rgb="FF000000"/>
      <name val="Tahoma"/>
      <family val="2"/>
    </font>
    <font>
      <b/>
      <sz val="10"/>
      <color rgb="FF000000"/>
      <name val="Tahoma"/>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
      <b/>
      <i/>
      <sz val="11"/>
      <color theme="0"/>
      <name val="Calibri"/>
      <family val="2"/>
      <scheme val="minor"/>
    </font>
    <font>
      <b/>
      <sz val="11"/>
      <color theme="0"/>
      <name val="Calibri Light"/>
      <family val="2"/>
      <scheme val="major"/>
    </font>
    <font>
      <sz val="11"/>
      <color rgb="FF7030A0"/>
      <name val="Calibri"/>
      <family val="2"/>
    </font>
    <font>
      <b/>
      <sz val="11"/>
      <color rgb="FFFFFFFF"/>
      <name val="Calibri Light"/>
      <family val="2"/>
    </font>
    <font>
      <sz val="11"/>
      <color rgb="FF000000"/>
      <name val="Tahoma"/>
      <family val="2"/>
    </font>
    <font>
      <b/>
      <sz val="11"/>
      <color theme="1"/>
      <name val="Tahoma"/>
      <family val="2"/>
    </font>
    <font>
      <i/>
      <sz val="11"/>
      <color rgb="FFFF0000"/>
      <name val="Calibri"/>
      <family val="2"/>
      <scheme val="minor"/>
    </font>
    <font>
      <strike/>
      <sz val="11"/>
      <color rgb="FF808080"/>
      <name val="Calibri"/>
      <family val="2"/>
      <scheme val="minor"/>
    </font>
    <font>
      <strike/>
      <sz val="11"/>
      <color rgb="FF000000"/>
      <name val="Calibri"/>
      <family val="2"/>
      <scheme val="minor"/>
    </font>
    <font>
      <strike/>
      <sz val="11"/>
      <name val="Calibri"/>
      <family val="2"/>
      <scheme val="minor"/>
    </font>
    <font>
      <strike/>
      <sz val="11"/>
      <color rgb="FFFF0000"/>
      <name val="Calibri"/>
      <family val="2"/>
      <scheme val="minor"/>
    </font>
    <font>
      <strike/>
      <sz val="11"/>
      <color rgb="FFC00000"/>
      <name val="Calibri"/>
      <family val="2"/>
      <scheme val="minor"/>
    </font>
    <font>
      <b/>
      <strike/>
      <sz val="11"/>
      <name val="Calibri"/>
      <family val="2"/>
      <scheme val="minor"/>
    </font>
    <font>
      <i/>
      <strike/>
      <sz val="11"/>
      <color theme="1"/>
      <name val="Calibri"/>
      <family val="2"/>
      <scheme val="minor"/>
    </font>
    <font>
      <sz val="11"/>
      <color rgb="FF69008E"/>
      <name val="Calibri (Body)"/>
    </font>
    <font>
      <i/>
      <sz val="11"/>
      <color rgb="FF69008E"/>
      <name val="Calibri"/>
      <family val="2"/>
      <scheme val="minor"/>
    </font>
    <font>
      <sz val="11"/>
      <color rgb="FF69008E"/>
      <name val="Calibri3"/>
    </font>
    <font>
      <sz val="11"/>
      <color rgb="FF69008E"/>
      <name val="Tahoma"/>
    </font>
    <font>
      <u/>
      <sz val="11"/>
      <color theme="1"/>
      <name val="Calibri"/>
      <family val="2"/>
      <scheme val="minor"/>
    </font>
  </fonts>
  <fills count="62">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9" tint="0.79998168889431442"/>
        <bgColor rgb="FF000000"/>
      </patternFill>
    </fill>
    <fill>
      <patternFill patternType="solid">
        <fgColor theme="0" tint="-0.249977111117893"/>
        <bgColor indexed="64"/>
      </patternFill>
    </fill>
    <fill>
      <patternFill patternType="solid">
        <fgColor theme="0" tint="-0.249977111117893"/>
        <bgColor rgb="FFD9E1F2"/>
      </patternFill>
    </fill>
    <fill>
      <patternFill patternType="solid">
        <fgColor theme="4" tint="0.79998168889431442"/>
        <bgColor indexed="64"/>
      </patternFill>
    </fill>
    <fill>
      <patternFill patternType="solid">
        <fgColor theme="0"/>
        <bgColor rgb="FFD9E1F2"/>
      </patternFill>
    </fill>
    <fill>
      <patternFill patternType="solid">
        <fgColor rgb="FFFFE1FF"/>
        <bgColor rgb="FF000000"/>
      </patternFill>
    </fill>
    <fill>
      <patternFill patternType="solid">
        <fgColor rgb="FFAEAAAA"/>
        <bgColor rgb="FFD9E1F2"/>
      </patternFill>
    </fill>
    <fill>
      <patternFill patternType="solid">
        <fgColor rgb="FFBFBFBF"/>
        <bgColor rgb="FFD9E1F2"/>
      </patternFill>
    </fill>
    <fill>
      <patternFill patternType="solid">
        <fgColor rgb="FFFFFFFF"/>
        <bgColor rgb="FFD9E1F2"/>
      </patternFill>
    </fill>
    <fill>
      <patternFill patternType="solid">
        <fgColor rgb="FFD9E1F2"/>
        <bgColor rgb="FF000000"/>
      </patternFill>
    </fill>
    <fill>
      <patternFill patternType="solid">
        <fgColor rgb="FFFFFFFF"/>
        <bgColor rgb="FF000000"/>
      </patternFill>
    </fill>
    <fill>
      <patternFill patternType="solid">
        <fgColor rgb="FF69008E"/>
        <bgColor rgb="FF4472C4"/>
      </patternFill>
    </fill>
    <fill>
      <patternFill patternType="solid">
        <fgColor theme="1" tint="0.499984740745262"/>
        <bgColor indexed="64"/>
      </patternFill>
    </fill>
    <fill>
      <patternFill patternType="solid">
        <fgColor theme="0" tint="-0.34998626667073579"/>
        <bgColor indexed="64"/>
      </patternFill>
    </fill>
  </fills>
  <borders count="54">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
      <left/>
      <right style="thin">
        <color rgb="FF8EA9DB"/>
      </right>
      <top style="thin">
        <color rgb="FF8EA9DB"/>
      </top>
      <bottom style="thin">
        <color rgb="FF8EA9DB"/>
      </bottom>
      <diagonal/>
    </border>
    <border>
      <left style="thin">
        <color rgb="FFE7E6E6"/>
      </left>
      <right style="thin">
        <color rgb="FFE7E6E6"/>
      </right>
      <top style="thin">
        <color rgb="FF8EA9DB"/>
      </top>
      <bottom style="thin">
        <color rgb="FF8EA9DB"/>
      </bottom>
      <diagonal/>
    </border>
    <border>
      <left/>
      <right/>
      <top/>
      <bottom style="thin">
        <color rgb="FF8EA9DB"/>
      </bottom>
      <diagonal/>
    </border>
    <border>
      <left/>
      <right/>
      <top style="thin">
        <color rgb="FF8EA9DB"/>
      </top>
      <bottom/>
      <diagonal/>
    </border>
    <border>
      <left style="hair">
        <color rgb="FFCCCCCC"/>
      </left>
      <right/>
      <top style="hair">
        <color rgb="FFCCCCCC"/>
      </top>
      <bottom/>
      <diagonal/>
    </border>
    <border>
      <left style="hair">
        <color rgb="FFCCCCCC"/>
      </left>
      <right/>
      <top/>
      <bottom style="hair">
        <color rgb="FFCCCCCC"/>
      </bottom>
      <diagonal/>
    </border>
    <border>
      <left/>
      <right style="thin">
        <color rgb="FFE7E6E6"/>
      </right>
      <top style="thin">
        <color rgb="FF8EA9DB"/>
      </top>
      <bottom/>
      <diagonal/>
    </border>
    <border>
      <left/>
      <right style="thin">
        <color rgb="FFE7E6E6"/>
      </right>
      <top/>
      <bottom style="thin">
        <color rgb="FF8EA9DB"/>
      </bottom>
      <diagonal/>
    </border>
    <border>
      <left/>
      <right/>
      <top/>
      <bottom style="thin">
        <color theme="4" tint="0.39997558519241921"/>
      </bottom>
      <diagonal/>
    </border>
    <border>
      <left style="thin">
        <color theme="2" tint="-9.9978637043366805E-2"/>
      </left>
      <right/>
      <top/>
      <bottom style="thin">
        <color theme="2" tint="-9.9978637043366805E-2"/>
      </bottom>
      <diagonal/>
    </border>
    <border>
      <left/>
      <right/>
      <top/>
      <bottom style="thin">
        <color theme="2" tint="-9.9978637043366805E-2"/>
      </bottom>
      <diagonal/>
    </border>
    <border>
      <left/>
      <right style="thin">
        <color theme="2" tint="-9.9978637043366805E-2"/>
      </right>
      <top/>
      <bottom style="thin">
        <color theme="2" tint="-9.9978637043366805E-2"/>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rgb="FF8EA9DB"/>
      </left>
      <right/>
      <top style="thin">
        <color rgb="FF8EA9DB"/>
      </top>
      <bottom/>
      <diagonal/>
    </border>
    <border>
      <left/>
      <right style="thin">
        <color rgb="FF8EA9DB"/>
      </right>
      <top style="thin">
        <color rgb="FF8EA9DB"/>
      </top>
      <bottom/>
      <diagonal/>
    </border>
    <border>
      <left/>
      <right/>
      <top/>
      <bottom style="double">
        <color theme="4"/>
      </bottom>
      <diagonal/>
    </border>
    <border>
      <left/>
      <right/>
      <top style="thin">
        <color rgb="FF8EA9DB"/>
      </top>
      <bottom style="double">
        <color theme="4"/>
      </bottom>
      <diagonal/>
    </border>
    <border>
      <left style="thin">
        <color theme="2" tint="-9.9978637043366805E-2"/>
      </left>
      <right style="thin">
        <color theme="2" tint="-9.9978637043366805E-2"/>
      </right>
      <top/>
      <bottom style="thin">
        <color theme="2" tint="-9.9978637043366805E-2"/>
      </bottom>
      <diagonal/>
    </border>
  </borders>
  <cellStyleXfs count="14">
    <xf numFmtId="0" fontId="0" fillId="0" borderId="0"/>
    <xf numFmtId="0" fontId="44" fillId="2" borderId="0" applyBorder="0" applyProtection="0"/>
    <xf numFmtId="0" fontId="44" fillId="2" borderId="0" applyBorder="0" applyProtection="0"/>
    <xf numFmtId="0" fontId="4" fillId="2" borderId="0" applyBorder="0" applyProtection="0"/>
    <xf numFmtId="0" fontId="44" fillId="2" borderId="0" applyBorder="0" applyProtection="0"/>
    <xf numFmtId="0" fontId="4" fillId="2" borderId="0" applyBorder="0" applyProtection="0"/>
    <xf numFmtId="0" fontId="6" fillId="0" borderId="0" applyBorder="0" applyProtection="0"/>
    <xf numFmtId="0" fontId="7" fillId="0" borderId="0" applyBorder="0" applyProtection="0"/>
    <xf numFmtId="164" fontId="8" fillId="0" borderId="0" applyBorder="0" applyProtection="0"/>
    <xf numFmtId="0" fontId="44" fillId="2" borderId="0" applyBorder="0" applyProtection="0"/>
    <xf numFmtId="0" fontId="44" fillId="2" borderId="0" applyBorder="0" applyProtection="0"/>
    <xf numFmtId="0" fontId="44" fillId="2" borderId="0" applyBorder="0" applyProtection="0"/>
    <xf numFmtId="0" fontId="4" fillId="2" borderId="0" applyBorder="0" applyProtection="0"/>
    <xf numFmtId="0" fontId="5" fillId="0" borderId="0" applyBorder="0" applyProtection="0"/>
  </cellStyleXfs>
  <cellXfs count="634">
    <xf numFmtId="0" fontId="0" fillId="0" borderId="0" xfId="0"/>
    <xf numFmtId="0" fontId="10" fillId="0" borderId="0" xfId="0" applyFont="1" applyAlignment="1">
      <alignment wrapText="1"/>
    </xf>
    <xf numFmtId="0" fontId="10" fillId="0" borderId="0" xfId="0" applyFont="1"/>
    <xf numFmtId="0" fontId="9" fillId="0" borderId="0" xfId="0" applyFont="1"/>
    <xf numFmtId="0" fontId="7" fillId="0" borderId="0" xfId="0" applyFont="1" applyAlignment="1">
      <alignment vertical="center"/>
    </xf>
    <xf numFmtId="0" fontId="9" fillId="0" borderId="0" xfId="0" applyFont="1" applyAlignment="1">
      <alignment wrapText="1"/>
    </xf>
    <xf numFmtId="0" fontId="14" fillId="0" borderId="0" xfId="0" applyFont="1" applyAlignment="1">
      <alignment wrapText="1"/>
    </xf>
    <xf numFmtId="0" fontId="9" fillId="0" borderId="0" xfId="0" applyFont="1" applyAlignment="1">
      <alignment horizontal="center"/>
    </xf>
    <xf numFmtId="0" fontId="10" fillId="5" borderId="1" xfId="0" applyFont="1" applyFill="1" applyBorder="1" applyAlignment="1">
      <alignment vertical="center"/>
    </xf>
    <xf numFmtId="0" fontId="11" fillId="5" borderId="1" xfId="0" applyFont="1" applyFill="1" applyBorder="1" applyAlignment="1">
      <alignment vertical="center"/>
    </xf>
    <xf numFmtId="0" fontId="9" fillId="5" borderId="1" xfId="0" applyFont="1" applyFill="1" applyBorder="1" applyAlignment="1">
      <alignment vertical="center"/>
    </xf>
    <xf numFmtId="0" fontId="12" fillId="5" borderId="1" xfId="0" applyFont="1" applyFill="1" applyBorder="1" applyAlignment="1">
      <alignment vertical="center"/>
    </xf>
    <xf numFmtId="0" fontId="15" fillId="5" borderId="1" xfId="0" applyFont="1" applyFill="1" applyBorder="1" applyAlignment="1">
      <alignment vertical="center"/>
    </xf>
    <xf numFmtId="0" fontId="12" fillId="5" borderId="0" xfId="0" applyFont="1" applyFill="1" applyAlignment="1">
      <alignment vertical="center" wrapText="1"/>
    </xf>
    <xf numFmtId="0" fontId="9" fillId="5" borderId="0" xfId="0" applyFont="1" applyFill="1" applyAlignment="1">
      <alignment horizontal="center" vertical="center"/>
    </xf>
    <xf numFmtId="0" fontId="9" fillId="5" borderId="0" xfId="0" applyFont="1" applyFill="1" applyAlignment="1">
      <alignment vertical="center"/>
    </xf>
    <xf numFmtId="0" fontId="10" fillId="0" borderId="1" xfId="0" applyFont="1" applyBorder="1" applyAlignment="1">
      <alignment vertical="center"/>
    </xf>
    <xf numFmtId="0" fontId="16" fillId="0" borderId="1" xfId="0" applyFont="1" applyBorder="1" applyAlignment="1">
      <alignment horizontal="left" vertical="center"/>
    </xf>
    <xf numFmtId="0" fontId="17" fillId="4" borderId="1" xfId="0" applyFont="1" applyFill="1" applyBorder="1" applyAlignment="1">
      <alignment vertical="center"/>
    </xf>
    <xf numFmtId="0" fontId="16" fillId="4" borderId="1" xfId="0" applyFont="1" applyFill="1" applyBorder="1" applyAlignment="1">
      <alignment vertical="center"/>
    </xf>
    <xf numFmtId="0" fontId="7" fillId="4" borderId="1" xfId="0" applyFont="1" applyFill="1" applyBorder="1" applyAlignment="1">
      <alignment horizontal="left" vertical="center"/>
    </xf>
    <xf numFmtId="0" fontId="15" fillId="4" borderId="1" xfId="0" applyFont="1" applyFill="1" applyBorder="1" applyAlignment="1">
      <alignment vertical="center"/>
    </xf>
    <xf numFmtId="0" fontId="12" fillId="0" borderId="1" xfId="0" applyFont="1" applyBorder="1" applyAlignment="1">
      <alignment vertical="center"/>
    </xf>
    <xf numFmtId="0" fontId="0" fillId="0" borderId="1" xfId="0" applyBorder="1"/>
    <xf numFmtId="0" fontId="18" fillId="0" borderId="1" xfId="0" applyFont="1" applyBorder="1" applyAlignment="1">
      <alignment horizontal="center" vertical="center" wrapText="1"/>
    </xf>
    <xf numFmtId="0" fontId="19" fillId="0" borderId="1" xfId="0" applyFont="1" applyBorder="1" applyAlignment="1">
      <alignment vertical="center" wrapText="1"/>
    </xf>
    <xf numFmtId="0" fontId="12" fillId="0" borderId="0" xfId="0" applyFont="1" applyAlignment="1">
      <alignment vertical="center" wrapText="1"/>
    </xf>
    <xf numFmtId="0" fontId="9" fillId="0" borderId="0" xfId="0" applyFont="1" applyAlignment="1">
      <alignment horizontal="center" vertical="center"/>
    </xf>
    <xf numFmtId="0" fontId="9" fillId="0" borderId="0" xfId="0" applyFont="1" applyAlignment="1">
      <alignment vertical="center"/>
    </xf>
    <xf numFmtId="0" fontId="10" fillId="5" borderId="1" xfId="0" applyFont="1" applyFill="1" applyBorder="1"/>
    <xf numFmtId="0" fontId="12" fillId="5" borderId="1" xfId="0" applyFont="1" applyFill="1" applyBorder="1"/>
    <xf numFmtId="0" fontId="12" fillId="5" borderId="1" xfId="0" applyFont="1" applyFill="1" applyBorder="1" applyAlignment="1">
      <alignment wrapText="1"/>
    </xf>
    <xf numFmtId="0" fontId="12" fillId="5" borderId="0" xfId="0" applyFont="1" applyFill="1" applyAlignment="1">
      <alignment wrapText="1"/>
    </xf>
    <xf numFmtId="0" fontId="12" fillId="6" borderId="0" xfId="0" applyFont="1" applyFill="1" applyAlignment="1">
      <alignment horizontal="center" vertical="center" wrapText="1"/>
    </xf>
    <xf numFmtId="0" fontId="9" fillId="5" borderId="0" xfId="0" applyFont="1" applyFill="1"/>
    <xf numFmtId="0" fontId="10" fillId="0" borderId="1" xfId="0" applyFont="1" applyBorder="1"/>
    <xf numFmtId="0" fontId="9" fillId="0" borderId="1" xfId="0" applyFont="1" applyBorder="1"/>
    <xf numFmtId="0" fontId="7" fillId="7" borderId="1" xfId="0" applyFont="1" applyFill="1" applyBorder="1" applyAlignment="1">
      <alignment vertical="center"/>
    </xf>
    <xf numFmtId="0" fontId="12" fillId="0" borderId="0" xfId="0" applyFont="1"/>
    <xf numFmtId="0" fontId="12" fillId="0" borderId="0" xfId="0" applyFont="1" applyAlignment="1">
      <alignment wrapText="1"/>
    </xf>
    <xf numFmtId="0" fontId="20" fillId="0" borderId="0" xfId="0" applyFont="1" applyAlignment="1">
      <alignment horizontal="center" vertical="center" wrapText="1"/>
    </xf>
    <xf numFmtId="0" fontId="12" fillId="0" borderId="0" xfId="0" applyFont="1" applyAlignment="1">
      <alignment horizontal="center" vertical="center" wrapText="1"/>
    </xf>
    <xf numFmtId="0" fontId="10" fillId="0" borderId="2" xfId="0" applyFont="1" applyBorder="1"/>
    <xf numFmtId="0" fontId="7" fillId="7" borderId="1" xfId="0" applyFont="1" applyFill="1" applyBorder="1" applyAlignment="1">
      <alignment vertical="center" wrapText="1"/>
    </xf>
    <xf numFmtId="0" fontId="20" fillId="8" borderId="2" xfId="0" applyFont="1" applyFill="1" applyBorder="1" applyAlignment="1">
      <alignment horizontal="center" vertical="center" wrapText="1"/>
    </xf>
    <xf numFmtId="49" fontId="9" fillId="0" borderId="1" xfId="0" applyNumberFormat="1" applyFont="1" applyBorder="1"/>
    <xf numFmtId="0" fontId="15" fillId="0" borderId="1" xfId="0" applyFont="1" applyBorder="1" applyAlignment="1">
      <alignment vertical="center"/>
    </xf>
    <xf numFmtId="0" fontId="9" fillId="4" borderId="1" xfId="0" applyFont="1" applyFill="1" applyBorder="1"/>
    <xf numFmtId="0" fontId="9" fillId="4" borderId="1" xfId="0" applyFont="1" applyFill="1" applyBorder="1" applyAlignment="1">
      <alignment wrapText="1"/>
    </xf>
    <xf numFmtId="0" fontId="14" fillId="4" borderId="1" xfId="0" applyFont="1" applyFill="1" applyBorder="1" applyAlignment="1">
      <alignment wrapText="1"/>
    </xf>
    <xf numFmtId="0" fontId="7" fillId="0" borderId="1" xfId="0" applyFont="1" applyBorder="1" applyAlignment="1">
      <alignment vertical="center"/>
    </xf>
    <xf numFmtId="0" fontId="7" fillId="9" borderId="1" xfId="0" applyFont="1" applyFill="1" applyBorder="1" applyAlignment="1">
      <alignment vertical="center"/>
    </xf>
    <xf numFmtId="0" fontId="10" fillId="0" borderId="1" xfId="0" applyFont="1" applyBorder="1" applyAlignment="1">
      <alignment wrapText="1"/>
    </xf>
    <xf numFmtId="0" fontId="9" fillId="0" borderId="1" xfId="0" applyFont="1" applyBorder="1" applyAlignment="1">
      <alignment wrapText="1"/>
    </xf>
    <xf numFmtId="49" fontId="9" fillId="0" borderId="1" xfId="0" applyNumberFormat="1" applyFont="1" applyBorder="1" applyAlignment="1">
      <alignment wrapText="1"/>
    </xf>
    <xf numFmtId="0" fontId="7" fillId="9" borderId="1" xfId="0" applyFont="1" applyFill="1" applyBorder="1" applyAlignment="1">
      <alignment vertical="center" wrapText="1"/>
    </xf>
    <xf numFmtId="0" fontId="9" fillId="0" borderId="0" xfId="0" applyFont="1" applyAlignment="1">
      <alignment horizontal="center" wrapText="1"/>
    </xf>
    <xf numFmtId="0" fontId="0" fillId="0" borderId="0" xfId="0" applyAlignment="1">
      <alignment wrapText="1"/>
    </xf>
    <xf numFmtId="0" fontId="22" fillId="0" borderId="0" xfId="0" applyFont="1" applyAlignment="1">
      <alignment wrapText="1"/>
    </xf>
    <xf numFmtId="0" fontId="7" fillId="4" borderId="1" xfId="0" applyFont="1" applyFill="1" applyBorder="1" applyAlignment="1">
      <alignment vertical="center"/>
    </xf>
    <xf numFmtId="0" fontId="7" fillId="7" borderId="0" xfId="0" applyFont="1" applyFill="1" applyAlignment="1">
      <alignment vertical="center" wrapText="1"/>
    </xf>
    <xf numFmtId="0" fontId="23" fillId="0" borderId="0" xfId="0" applyFont="1"/>
    <xf numFmtId="49" fontId="9" fillId="0" borderId="0" xfId="0" applyNumberFormat="1" applyFont="1"/>
    <xf numFmtId="0" fontId="7" fillId="0" borderId="1" xfId="0" applyFont="1" applyBorder="1" applyAlignment="1">
      <alignment vertical="center" wrapText="1"/>
    </xf>
    <xf numFmtId="0" fontId="24" fillId="0" borderId="0" xfId="0" applyFont="1" applyAlignment="1">
      <alignment wrapText="1"/>
    </xf>
    <xf numFmtId="0" fontId="0" fillId="10" borderId="2" xfId="0" applyFill="1" applyBorder="1"/>
    <xf numFmtId="0" fontId="15" fillId="7" borderId="1" xfId="0" applyFont="1" applyFill="1" applyBorder="1" applyAlignment="1">
      <alignment vertical="center"/>
    </xf>
    <xf numFmtId="0" fontId="9" fillId="4" borderId="0" xfId="0" applyFont="1" applyFill="1" applyAlignment="1">
      <alignment wrapText="1"/>
    </xf>
    <xf numFmtId="0" fontId="0" fillId="8" borderId="2" xfId="0" applyFill="1" applyBorder="1"/>
    <xf numFmtId="0" fontId="7" fillId="4" borderId="1" xfId="0" applyFont="1" applyFill="1" applyBorder="1" applyAlignment="1">
      <alignment wrapText="1"/>
    </xf>
    <xf numFmtId="0" fontId="7" fillId="7" borderId="0" xfId="0" applyFont="1" applyFill="1" applyAlignment="1">
      <alignment vertical="center"/>
    </xf>
    <xf numFmtId="0" fontId="9" fillId="3" borderId="1" xfId="0" applyFont="1" applyFill="1" applyBorder="1"/>
    <xf numFmtId="0" fontId="10" fillId="8" borderId="2" xfId="0" applyFont="1" applyFill="1" applyBorder="1" applyAlignment="1">
      <alignment horizontal="center"/>
    </xf>
    <xf numFmtId="0" fontId="10" fillId="8" borderId="0" xfId="0" applyFont="1" applyFill="1" applyAlignment="1">
      <alignment horizontal="center"/>
    </xf>
    <xf numFmtId="0" fontId="10" fillId="8" borderId="0" xfId="0" applyFont="1" applyFill="1" applyAlignment="1">
      <alignment horizontal="center" vertical="center"/>
    </xf>
    <xf numFmtId="0" fontId="0" fillId="8" borderId="0" xfId="0" applyFill="1"/>
    <xf numFmtId="0" fontId="25" fillId="0" borderId="0" xfId="0" applyFont="1"/>
    <xf numFmtId="0" fontId="13" fillId="0" borderId="0" xfId="0" applyFont="1"/>
    <xf numFmtId="0" fontId="13" fillId="0" borderId="1" xfId="0" applyFont="1" applyBorder="1"/>
    <xf numFmtId="0" fontId="26" fillId="7" borderId="1" xfId="0" applyFont="1" applyFill="1" applyBorder="1" applyAlignment="1">
      <alignment vertical="center"/>
    </xf>
    <xf numFmtId="0" fontId="13" fillId="0" borderId="0" xfId="0" applyFont="1" applyAlignment="1">
      <alignment wrapText="1"/>
    </xf>
    <xf numFmtId="0" fontId="13" fillId="0" borderId="0" xfId="0" applyFont="1" applyAlignment="1">
      <alignment horizontal="center"/>
    </xf>
    <xf numFmtId="0" fontId="27" fillId="0" borderId="0" xfId="0" applyFont="1"/>
    <xf numFmtId="0" fontId="15" fillId="5" borderId="1" xfId="0" applyFont="1" applyFill="1" applyBorder="1" applyAlignment="1">
      <alignment vertical="center" wrapText="1"/>
    </xf>
    <xf numFmtId="0" fontId="12" fillId="5" borderId="1" xfId="0" applyFont="1" applyFill="1" applyBorder="1" applyAlignment="1">
      <alignment horizontal="center" vertical="center"/>
    </xf>
    <xf numFmtId="0" fontId="28" fillId="0" borderId="3" xfId="0" applyFont="1" applyBorder="1"/>
    <xf numFmtId="0" fontId="0" fillId="0" borderId="3" xfId="0" applyBorder="1" applyAlignment="1">
      <alignment wrapText="1"/>
    </xf>
    <xf numFmtId="0" fontId="29" fillId="0" borderId="0" xfId="0" applyFont="1"/>
    <xf numFmtId="0" fontId="30" fillId="0" borderId="0" xfId="0" applyFont="1"/>
    <xf numFmtId="0" fontId="31" fillId="0" borderId="0" xfId="0" applyFont="1"/>
    <xf numFmtId="0" fontId="31" fillId="0" borderId="0" xfId="0" applyFont="1" applyAlignment="1">
      <alignment vertical="center"/>
    </xf>
    <xf numFmtId="0" fontId="32" fillId="0" borderId="0" xfId="0" applyFont="1"/>
    <xf numFmtId="0" fontId="33" fillId="0" borderId="0" xfId="0" applyFont="1"/>
    <xf numFmtId="0" fontId="32" fillId="0" borderId="0" xfId="0" applyFont="1" applyAlignment="1">
      <alignment vertical="center"/>
    </xf>
    <xf numFmtId="0" fontId="34" fillId="0" borderId="0" xfId="0" applyFont="1"/>
    <xf numFmtId="0" fontId="0" fillId="0" borderId="0" xfId="0" applyAlignment="1">
      <alignment horizontal="center"/>
    </xf>
    <xf numFmtId="0" fontId="35" fillId="0" borderId="0" xfId="0" applyFont="1" applyAlignment="1">
      <alignment wrapText="1"/>
    </xf>
    <xf numFmtId="0" fontId="15" fillId="5" borderId="1" xfId="0" applyFont="1" applyFill="1" applyBorder="1" applyAlignment="1">
      <alignment wrapText="1"/>
    </xf>
    <xf numFmtId="0" fontId="0" fillId="5" borderId="0" xfId="0" applyFill="1"/>
    <xf numFmtId="0" fontId="15" fillId="4" borderId="1" xfId="0" applyFont="1" applyFill="1" applyBorder="1" applyAlignment="1">
      <alignment wrapText="1"/>
    </xf>
    <xf numFmtId="0" fontId="0" fillId="0" borderId="1" xfId="0" applyBorder="1" applyAlignment="1">
      <alignment horizontal="center"/>
    </xf>
    <xf numFmtId="0" fontId="36" fillId="0" borderId="1" xfId="0" applyFont="1" applyBorder="1" applyAlignment="1">
      <alignment horizontal="center" wrapText="1"/>
    </xf>
    <xf numFmtId="0" fontId="19" fillId="0" borderId="0" xfId="0" applyFont="1" applyAlignment="1">
      <alignment vertical="center" wrapText="1"/>
    </xf>
    <xf numFmtId="0" fontId="12" fillId="5" borderId="1" xfId="0" applyFont="1" applyFill="1" applyBorder="1" applyAlignment="1">
      <alignment horizontal="center"/>
    </xf>
    <xf numFmtId="0" fontId="12" fillId="5" borderId="1" xfId="0" applyFont="1" applyFill="1" applyBorder="1" applyAlignment="1">
      <alignment horizontal="center" wrapText="1"/>
    </xf>
    <xf numFmtId="0" fontId="37" fillId="5" borderId="1" xfId="0" applyFont="1" applyFill="1" applyBorder="1" applyAlignment="1">
      <alignment wrapText="1"/>
    </xf>
    <xf numFmtId="0" fontId="12" fillId="5" borderId="1" xfId="0" applyFont="1" applyFill="1" applyBorder="1" applyAlignment="1">
      <alignment horizontal="center" vertical="center" wrapText="1"/>
    </xf>
    <xf numFmtId="0" fontId="12" fillId="5" borderId="1" xfId="0" applyFont="1" applyFill="1" applyBorder="1" applyAlignment="1">
      <alignment vertical="center" wrapText="1"/>
    </xf>
    <xf numFmtId="0" fontId="12" fillId="5" borderId="4" xfId="0" applyFont="1" applyFill="1" applyBorder="1" applyAlignment="1">
      <alignment vertical="center" wrapText="1"/>
    </xf>
    <xf numFmtId="0" fontId="7" fillId="0" borderId="1" xfId="0" applyFont="1" applyBorder="1" applyAlignment="1">
      <alignment wrapText="1"/>
    </xf>
    <xf numFmtId="0" fontId="33" fillId="0" borderId="0" xfId="0" applyFont="1" applyAlignment="1">
      <alignment wrapText="1"/>
    </xf>
    <xf numFmtId="0" fontId="10" fillId="4" borderId="1" xfId="0" applyFont="1" applyFill="1" applyBorder="1" applyAlignment="1">
      <alignment horizontal="center"/>
    </xf>
    <xf numFmtId="0" fontId="38" fillId="0" borderId="0" xfId="0" applyFont="1" applyAlignment="1">
      <alignment wrapText="1"/>
    </xf>
    <xf numFmtId="0" fontId="0" fillId="11" borderId="0" xfId="0" applyFill="1"/>
    <xf numFmtId="0" fontId="38" fillId="0" borderId="1" xfId="0" applyFont="1" applyBorder="1" applyAlignment="1">
      <alignment vertical="center" wrapText="1"/>
    </xf>
    <xf numFmtId="0" fontId="38" fillId="0" borderId="1" xfId="0" applyFont="1" applyBorder="1" applyAlignment="1">
      <alignment wrapText="1"/>
    </xf>
    <xf numFmtId="0" fontId="34" fillId="0" borderId="0" xfId="0" applyFont="1" applyAlignment="1">
      <alignment wrapText="1"/>
    </xf>
    <xf numFmtId="0" fontId="38" fillId="0" borderId="0" xfId="0" applyFont="1"/>
    <xf numFmtId="0" fontId="9" fillId="4" borderId="1" xfId="0" applyFont="1" applyFill="1" applyBorder="1" applyAlignment="1">
      <alignment horizontal="center" wrapText="1"/>
    </xf>
    <xf numFmtId="0" fontId="10" fillId="4" borderId="1" xfId="0" applyFont="1" applyFill="1" applyBorder="1" applyAlignment="1">
      <alignment horizontal="center" wrapText="1"/>
    </xf>
    <xf numFmtId="0" fontId="40" fillId="0" borderId="2" xfId="0" applyFont="1" applyBorder="1"/>
    <xf numFmtId="0" fontId="40" fillId="0" borderId="1" xfId="0" applyFont="1" applyBorder="1"/>
    <xf numFmtId="0" fontId="38" fillId="0" borderId="0" xfId="0" applyFont="1" applyAlignment="1">
      <alignment horizontal="left"/>
    </xf>
    <xf numFmtId="0" fontId="38" fillId="0" borderId="1" xfId="0" applyFont="1" applyBorder="1"/>
    <xf numFmtId="0" fontId="40" fillId="4" borderId="1" xfId="0" applyFont="1" applyFill="1" applyBorder="1" applyAlignment="1">
      <alignment horizontal="center"/>
    </xf>
    <xf numFmtId="0" fontId="38" fillId="0" borderId="0" xfId="0" applyFont="1" applyAlignment="1">
      <alignment horizontal="center" wrapText="1"/>
    </xf>
    <xf numFmtId="0" fontId="41" fillId="4" borderId="1" xfId="0" applyFont="1" applyFill="1" applyBorder="1" applyAlignment="1">
      <alignment horizontal="center"/>
    </xf>
    <xf numFmtId="0" fontId="40" fillId="0" borderId="0" xfId="0" applyFont="1" applyAlignment="1">
      <alignment horizontal="center"/>
    </xf>
    <xf numFmtId="0" fontId="35" fillId="0" borderId="0" xfId="0" applyFont="1"/>
    <xf numFmtId="0" fontId="36" fillId="4" borderId="1" xfId="0" applyFont="1" applyFill="1" applyBorder="1"/>
    <xf numFmtId="0" fontId="36" fillId="0" borderId="1" xfId="0" applyFont="1" applyBorder="1"/>
    <xf numFmtId="0" fontId="7" fillId="0" borderId="0" xfId="0" applyFont="1"/>
    <xf numFmtId="0" fontId="7" fillId="12" borderId="0" xfId="0" applyFont="1" applyFill="1" applyAlignment="1">
      <alignment vertical="center"/>
    </xf>
    <xf numFmtId="0" fontId="12" fillId="12" borderId="0" xfId="0" applyFont="1" applyFill="1" applyAlignment="1">
      <alignment vertical="center"/>
    </xf>
    <xf numFmtId="0" fontId="7" fillId="12" borderId="0" xfId="0" applyFont="1" applyFill="1"/>
    <xf numFmtId="0" fontId="7" fillId="12" borderId="5" xfId="0" applyFont="1" applyFill="1" applyBorder="1"/>
    <xf numFmtId="0" fontId="36" fillId="0" borderId="4" xfId="0" applyFont="1" applyBorder="1"/>
    <xf numFmtId="0" fontId="43" fillId="0" borderId="1" xfId="0" applyFont="1" applyBorder="1"/>
    <xf numFmtId="0" fontId="43" fillId="0" borderId="6" xfId="0" applyFont="1" applyBorder="1"/>
    <xf numFmtId="0" fontId="45" fillId="0" borderId="0" xfId="0" applyFont="1"/>
    <xf numFmtId="0" fontId="45" fillId="0" borderId="0" xfId="0" applyFont="1" applyAlignment="1">
      <alignment wrapText="1"/>
    </xf>
    <xf numFmtId="0" fontId="47" fillId="0" borderId="1" xfId="0" applyFont="1" applyBorder="1"/>
    <xf numFmtId="0" fontId="48" fillId="0" borderId="1" xfId="0" applyFont="1" applyBorder="1"/>
    <xf numFmtId="0" fontId="49" fillId="0" borderId="1" xfId="0" applyFont="1" applyBorder="1"/>
    <xf numFmtId="0" fontId="50" fillId="0" borderId="0" xfId="0" applyFont="1"/>
    <xf numFmtId="0" fontId="51" fillId="0" borderId="0" xfId="0" applyFont="1"/>
    <xf numFmtId="0" fontId="51" fillId="0" borderId="6" xfId="0" applyFont="1" applyBorder="1"/>
    <xf numFmtId="0" fontId="52" fillId="0" borderId="0" xfId="0" applyFont="1"/>
    <xf numFmtId="0" fontId="52" fillId="0" borderId="0" xfId="0" applyFont="1" applyAlignment="1">
      <alignment wrapText="1"/>
    </xf>
    <xf numFmtId="0" fontId="53" fillId="0" borderId="0" xfId="0" applyFont="1"/>
    <xf numFmtId="0" fontId="54" fillId="14" borderId="0" xfId="0" applyFont="1" applyFill="1"/>
    <xf numFmtId="0" fontId="54" fillId="17" borderId="0" xfId="0" applyFont="1" applyFill="1"/>
    <xf numFmtId="0" fontId="54" fillId="16" borderId="0" xfId="0" applyFont="1" applyFill="1"/>
    <xf numFmtId="0" fontId="36" fillId="18" borderId="1" xfId="0" applyFont="1" applyFill="1" applyBorder="1"/>
    <xf numFmtId="0" fontId="45" fillId="0" borderId="0" xfId="0" applyFont="1" applyAlignment="1">
      <alignment horizontal="left" wrapText="1"/>
    </xf>
    <xf numFmtId="0" fontId="9" fillId="0" borderId="0" xfId="0" applyFont="1" applyAlignment="1">
      <alignment horizontal="left" wrapText="1"/>
    </xf>
    <xf numFmtId="0" fontId="45" fillId="0" borderId="0" xfId="0" applyFont="1" applyAlignment="1">
      <alignment horizontal="center" wrapText="1"/>
    </xf>
    <xf numFmtId="9" fontId="35" fillId="0" borderId="0" xfId="0" applyNumberFormat="1" applyFont="1"/>
    <xf numFmtId="0" fontId="61" fillId="0" borderId="0" xfId="0" applyFont="1"/>
    <xf numFmtId="0" fontId="35" fillId="0" borderId="0" xfId="0" applyFont="1" applyAlignment="1">
      <alignment horizontal="left" wrapText="1"/>
    </xf>
    <xf numFmtId="0" fontId="52" fillId="0" borderId="0" xfId="0" applyFont="1" applyAlignment="1">
      <alignment horizontal="left" wrapText="1"/>
    </xf>
    <xf numFmtId="0" fontId="38" fillId="0" borderId="0" xfId="0" applyFont="1" applyAlignment="1">
      <alignment horizontal="left" wrapText="1"/>
    </xf>
    <xf numFmtId="0" fontId="63" fillId="15" borderId="10" xfId="0" applyFont="1" applyFill="1" applyBorder="1"/>
    <xf numFmtId="0" fontId="61" fillId="0" borderId="11" xfId="0" applyFont="1" applyBorder="1"/>
    <xf numFmtId="0" fontId="64" fillId="0" borderId="0" xfId="0" applyFont="1"/>
    <xf numFmtId="0" fontId="61" fillId="0" borderId="12" xfId="0" applyFont="1" applyBorder="1"/>
    <xf numFmtId="0" fontId="61" fillId="0" borderId="13" xfId="0" applyFont="1" applyBorder="1"/>
    <xf numFmtId="0" fontId="64" fillId="0" borderId="14" xfId="0" applyFont="1" applyBorder="1"/>
    <xf numFmtId="0" fontId="61" fillId="0" borderId="15" xfId="0" applyFont="1" applyBorder="1"/>
    <xf numFmtId="0" fontId="64" fillId="20" borderId="0" xfId="0" applyFont="1" applyFill="1"/>
    <xf numFmtId="0" fontId="62" fillId="0" borderId="0" xfId="0" applyFont="1"/>
    <xf numFmtId="0" fontId="35" fillId="5" borderId="0" xfId="0" applyFont="1" applyFill="1" applyAlignment="1">
      <alignment horizontal="center" vertical="center"/>
    </xf>
    <xf numFmtId="0" fontId="37" fillId="5" borderId="0" xfId="0" applyFont="1" applyFill="1" applyAlignment="1">
      <alignment horizontal="center" vertical="center"/>
    </xf>
    <xf numFmtId="0" fontId="35" fillId="0" borderId="0" xfId="0" applyFont="1" applyAlignment="1">
      <alignment horizontal="center" vertical="center" wrapText="1"/>
    </xf>
    <xf numFmtId="0" fontId="35" fillId="0" borderId="0" xfId="0" applyFont="1" applyAlignment="1">
      <alignment horizontal="center" vertical="center"/>
    </xf>
    <xf numFmtId="0" fontId="0" fillId="0" borderId="0" xfId="0" applyAlignment="1">
      <alignment horizontal="center" vertical="center"/>
    </xf>
    <xf numFmtId="0" fontId="45" fillId="0" borderId="16" xfId="0" applyFont="1" applyBorder="1" applyAlignment="1">
      <alignment horizontal="center" wrapText="1"/>
    </xf>
    <xf numFmtId="0" fontId="45" fillId="0" borderId="0" xfId="0" applyFont="1" applyAlignment="1">
      <alignment horizontal="left" vertical="top" wrapText="1"/>
    </xf>
    <xf numFmtId="0" fontId="9" fillId="0" borderId="0" xfId="0" applyFont="1" applyAlignment="1">
      <alignment horizontal="left" vertical="top" wrapText="1"/>
    </xf>
    <xf numFmtId="0" fontId="35" fillId="0" borderId="0" xfId="0" applyFont="1" applyAlignment="1">
      <alignment horizontal="left" vertical="top" wrapText="1"/>
    </xf>
    <xf numFmtId="0" fontId="38" fillId="0" borderId="0" xfId="0" applyFont="1" applyAlignment="1">
      <alignment horizontal="left" vertical="top" wrapText="1"/>
    </xf>
    <xf numFmtId="0" fontId="52" fillId="0" borderId="0" xfId="0" applyFont="1" applyAlignment="1">
      <alignment horizontal="left" vertical="top" wrapText="1"/>
    </xf>
    <xf numFmtId="0" fontId="45" fillId="0" borderId="16" xfId="0" applyFont="1" applyBorder="1" applyAlignment="1">
      <alignment horizontal="left" wrapText="1"/>
    </xf>
    <xf numFmtId="0" fontId="35" fillId="21" borderId="0" xfId="0" applyFont="1" applyFill="1" applyAlignment="1">
      <alignment horizontal="center" vertical="center" wrapText="1"/>
    </xf>
    <xf numFmtId="0" fontId="60" fillId="23" borderId="0" xfId="0" applyFont="1" applyFill="1" applyAlignment="1">
      <alignment horizontal="center" vertical="center" wrapText="1"/>
    </xf>
    <xf numFmtId="0" fontId="60" fillId="22" borderId="16" xfId="0" applyFont="1" applyFill="1" applyBorder="1" applyAlignment="1">
      <alignment horizontal="center" vertical="center" wrapText="1"/>
    </xf>
    <xf numFmtId="0" fontId="52" fillId="0" borderId="0" xfId="0" applyFont="1" applyAlignment="1">
      <alignment horizontal="center" vertical="center" wrapText="1"/>
    </xf>
    <xf numFmtId="0" fontId="45" fillId="0" borderId="0" xfId="0" applyFont="1" applyAlignment="1">
      <alignment horizontal="center" vertical="center" wrapText="1"/>
    </xf>
    <xf numFmtId="0" fontId="9" fillId="0" borderId="0" xfId="0" applyFont="1" applyAlignment="1">
      <alignment horizontal="center" vertical="center" wrapText="1"/>
    </xf>
    <xf numFmtId="0" fontId="38" fillId="0" borderId="0" xfId="0" applyFont="1" applyAlignment="1">
      <alignment horizontal="center" vertical="center"/>
    </xf>
    <xf numFmtId="0" fontId="38" fillId="0" borderId="0" xfId="0" applyFont="1" applyAlignment="1">
      <alignment horizontal="center" vertical="center" wrapText="1"/>
    </xf>
    <xf numFmtId="49" fontId="67" fillId="0" borderId="0" xfId="0" applyNumberFormat="1" applyFont="1" applyAlignment="1">
      <alignment horizontal="center" vertical="center"/>
    </xf>
    <xf numFmtId="49" fontId="67" fillId="0" borderId="0" xfId="0" applyNumberFormat="1" applyFont="1" applyAlignment="1">
      <alignment vertical="center"/>
    </xf>
    <xf numFmtId="49" fontId="67" fillId="0" borderId="0" xfId="0" applyNumberFormat="1" applyFont="1"/>
    <xf numFmtId="49" fontId="71" fillId="0" borderId="0" xfId="0" applyNumberFormat="1" applyFont="1"/>
    <xf numFmtId="49" fontId="67" fillId="0" borderId="0" xfId="0" applyNumberFormat="1" applyFont="1" applyAlignment="1">
      <alignment horizontal="left" vertical="top"/>
    </xf>
    <xf numFmtId="49" fontId="71" fillId="0" borderId="0" xfId="0" applyNumberFormat="1" applyFont="1" applyAlignment="1">
      <alignment horizontal="left" vertical="top"/>
    </xf>
    <xf numFmtId="49" fontId="73" fillId="0" borderId="0" xfId="0" applyNumberFormat="1" applyFont="1"/>
    <xf numFmtId="49" fontId="67" fillId="0" borderId="0" xfId="0" applyNumberFormat="1" applyFont="1" applyAlignment="1">
      <alignment horizontal="center"/>
    </xf>
    <xf numFmtId="49" fontId="68" fillId="0" borderId="0" xfId="0" applyNumberFormat="1" applyFont="1"/>
    <xf numFmtId="49" fontId="69" fillId="0" borderId="0" xfId="0" applyNumberFormat="1" applyFont="1" applyAlignment="1">
      <alignment vertical="top"/>
    </xf>
    <xf numFmtId="49" fontId="69" fillId="0" borderId="0" xfId="0" applyNumberFormat="1" applyFont="1" applyAlignment="1">
      <alignment vertical="top" wrapText="1"/>
    </xf>
    <xf numFmtId="49" fontId="67" fillId="0" borderId="0" xfId="0" applyNumberFormat="1" applyFont="1" applyAlignment="1">
      <alignment wrapText="1"/>
    </xf>
    <xf numFmtId="49" fontId="67" fillId="0" borderId="0" xfId="0" applyNumberFormat="1" applyFont="1" applyAlignment="1">
      <alignment vertical="top"/>
    </xf>
    <xf numFmtId="49" fontId="67" fillId="0" borderId="0" xfId="0" applyNumberFormat="1" applyFont="1" applyAlignment="1">
      <alignment vertical="top" wrapText="1"/>
    </xf>
    <xf numFmtId="49" fontId="72" fillId="0" borderId="0" xfId="0" applyNumberFormat="1" applyFont="1" applyAlignment="1">
      <alignment vertical="center" wrapText="1"/>
    </xf>
    <xf numFmtId="49" fontId="67" fillId="0" borderId="23" xfId="0" applyNumberFormat="1" applyFont="1" applyBorder="1" applyAlignment="1">
      <alignment vertical="center" wrapText="1"/>
    </xf>
    <xf numFmtId="49" fontId="67" fillId="0" borderId="23" xfId="0" applyNumberFormat="1" applyFont="1" applyBorder="1" applyAlignment="1">
      <alignment horizontal="center" vertical="center"/>
    </xf>
    <xf numFmtId="49" fontId="67" fillId="0" borderId="23" xfId="0" applyNumberFormat="1" applyFont="1" applyBorder="1" applyAlignment="1">
      <alignment vertical="center"/>
    </xf>
    <xf numFmtId="49" fontId="67" fillId="0" borderId="23" xfId="0" applyNumberFormat="1" applyFont="1" applyBorder="1" applyAlignment="1">
      <alignment horizontal="left" vertical="center" wrapText="1"/>
    </xf>
    <xf numFmtId="49" fontId="67" fillId="0" borderId="24" xfId="0" applyNumberFormat="1" applyFont="1" applyBorder="1" applyAlignment="1">
      <alignment vertical="center" wrapText="1"/>
    </xf>
    <xf numFmtId="49" fontId="67" fillId="0" borderId="24" xfId="0" applyNumberFormat="1" applyFont="1" applyBorder="1" applyAlignment="1">
      <alignment horizontal="center" vertical="center"/>
    </xf>
    <xf numFmtId="49" fontId="76" fillId="0" borderId="25" xfId="0" applyNumberFormat="1" applyFont="1" applyBorder="1" applyAlignment="1">
      <alignment horizontal="center" vertical="center" wrapText="1"/>
    </xf>
    <xf numFmtId="49" fontId="76" fillId="0" borderId="26" xfId="0" applyNumberFormat="1" applyFont="1" applyBorder="1" applyAlignment="1">
      <alignment horizontal="center" vertical="center" wrapText="1"/>
    </xf>
    <xf numFmtId="49" fontId="76" fillId="0" borderId="27" xfId="0" applyNumberFormat="1" applyFont="1" applyBorder="1" applyAlignment="1">
      <alignment horizontal="center" vertical="center" wrapText="1"/>
    </xf>
    <xf numFmtId="49" fontId="67" fillId="24" borderId="23" xfId="0" applyNumberFormat="1" applyFont="1" applyFill="1" applyBorder="1" applyAlignment="1">
      <alignment vertical="center" wrapText="1"/>
    </xf>
    <xf numFmtId="0" fontId="65" fillId="0" borderId="0" xfId="0" applyFont="1" applyAlignment="1">
      <alignment horizontal="left"/>
    </xf>
    <xf numFmtId="0" fontId="55" fillId="0" borderId="0" xfId="0" applyFont="1" applyAlignment="1">
      <alignment horizontal="left"/>
    </xf>
    <xf numFmtId="0" fontId="58" fillId="0" borderId="0" xfId="0" applyFont="1" applyAlignment="1">
      <alignment horizontal="left"/>
    </xf>
    <xf numFmtId="0" fontId="61" fillId="0" borderId="0" xfId="0" applyFont="1" applyAlignment="1">
      <alignment horizontal="left"/>
    </xf>
    <xf numFmtId="0" fontId="56" fillId="0" borderId="0" xfId="0" applyFont="1" applyAlignment="1">
      <alignment horizontal="left"/>
    </xf>
    <xf numFmtId="0" fontId="59" fillId="0" borderId="0" xfId="0" applyFont="1" applyAlignment="1">
      <alignment horizontal="left"/>
    </xf>
    <xf numFmtId="0" fontId="57" fillId="0" borderId="0" xfId="0" applyFont="1" applyAlignment="1">
      <alignment horizontal="left"/>
    </xf>
    <xf numFmtId="0" fontId="80" fillId="0" borderId="11" xfId="0" applyFont="1" applyBorder="1" applyAlignment="1">
      <alignment vertical="center"/>
    </xf>
    <xf numFmtId="0" fontId="55" fillId="0" borderId="0" xfId="0" applyFont="1"/>
    <xf numFmtId="0" fontId="55" fillId="0" borderId="0" xfId="0" applyFont="1" applyAlignment="1">
      <alignment wrapText="1"/>
    </xf>
    <xf numFmtId="0" fontId="0" fillId="25" borderId="0" xfId="0" applyFill="1"/>
    <xf numFmtId="0" fontId="42" fillId="0" borderId="0" xfId="0" applyFont="1" applyAlignment="1">
      <alignment vertical="center" wrapText="1"/>
    </xf>
    <xf numFmtId="0" fontId="81" fillId="0" borderId="0" xfId="0" applyFont="1"/>
    <xf numFmtId="0" fontId="82" fillId="23" borderId="0" xfId="0" applyFont="1" applyFill="1" applyAlignment="1">
      <alignment horizontal="center" vertical="center" wrapText="1"/>
    </xf>
    <xf numFmtId="0" fontId="55" fillId="25" borderId="0" xfId="0" applyFont="1" applyFill="1"/>
    <xf numFmtId="0" fontId="3" fillId="0" borderId="0" xfId="0" applyFont="1"/>
    <xf numFmtId="0" fontId="55" fillId="26" borderId="0" xfId="0" applyFont="1" applyFill="1"/>
    <xf numFmtId="0" fontId="55" fillId="5" borderId="0" xfId="0" applyFont="1" applyFill="1" applyAlignment="1">
      <alignment horizontal="center" vertical="center"/>
    </xf>
    <xf numFmtId="0" fontId="55" fillId="0" borderId="0" xfId="0" applyFont="1" applyAlignment="1">
      <alignment horizontal="center" vertical="center" wrapText="1"/>
    </xf>
    <xf numFmtId="0" fontId="55" fillId="21" borderId="0" xfId="0" applyFont="1" applyFill="1" applyAlignment="1">
      <alignment horizontal="center" vertical="center" wrapText="1"/>
    </xf>
    <xf numFmtId="0" fontId="82" fillId="22" borderId="16" xfId="0" applyFont="1" applyFill="1" applyBorder="1" applyAlignment="1">
      <alignment horizontal="center" vertical="center" wrapText="1"/>
    </xf>
    <xf numFmtId="0" fontId="55" fillId="21" borderId="1" xfId="0" applyFont="1" applyFill="1" applyBorder="1" applyAlignment="1">
      <alignment horizontal="center" vertical="center" wrapText="1"/>
    </xf>
    <xf numFmtId="0" fontId="55" fillId="0" borderId="0" xfId="0" applyFont="1" applyAlignment="1">
      <alignment horizontal="center" vertical="center"/>
    </xf>
    <xf numFmtId="0" fontId="55" fillId="0" borderId="0" xfId="0" applyFont="1" applyAlignment="1">
      <alignment horizontal="left" wrapText="1"/>
    </xf>
    <xf numFmtId="0" fontId="83" fillId="0" borderId="0" xfId="0" applyFont="1" applyAlignment="1">
      <alignment horizontal="left"/>
    </xf>
    <xf numFmtId="0" fontId="86" fillId="0" borderId="0" xfId="0" applyFont="1" applyAlignment="1">
      <alignment horizontal="left"/>
    </xf>
    <xf numFmtId="0" fontId="88" fillId="0" borderId="0" xfId="0" applyFont="1" applyAlignment="1">
      <alignment horizontal="left"/>
    </xf>
    <xf numFmtId="0" fontId="89" fillId="0" borderId="0" xfId="0" applyFont="1" applyAlignment="1">
      <alignment wrapText="1"/>
    </xf>
    <xf numFmtId="0" fontId="59" fillId="0" borderId="0" xfId="0" applyFont="1"/>
    <xf numFmtId="0" fontId="58" fillId="0" borderId="16" xfId="0" applyFont="1" applyBorder="1" applyAlignment="1">
      <alignment horizontal="left" wrapText="1"/>
    </xf>
    <xf numFmtId="0" fontId="90" fillId="0" borderId="0" xfId="13" applyFont="1"/>
    <xf numFmtId="0" fontId="91" fillId="0" borderId="0" xfId="0" applyFont="1" applyAlignment="1">
      <alignment horizontal="left"/>
    </xf>
    <xf numFmtId="0" fontId="89" fillId="0" borderId="0" xfId="0" applyFont="1" applyAlignment="1">
      <alignment horizontal="left" vertical="top" wrapText="1"/>
    </xf>
    <xf numFmtId="0" fontId="58" fillId="0" borderId="0" xfId="0" applyFont="1"/>
    <xf numFmtId="0" fontId="92" fillId="0" borderId="0" xfId="0" applyFont="1" applyAlignment="1">
      <alignment horizontal="left"/>
    </xf>
    <xf numFmtId="0" fontId="92" fillId="0" borderId="0" xfId="0" applyFont="1"/>
    <xf numFmtId="0" fontId="89" fillId="0" borderId="0" xfId="0" applyFont="1" applyAlignment="1">
      <alignment horizontal="center" vertical="center" wrapText="1"/>
    </xf>
    <xf numFmtId="0" fontId="55" fillId="0" borderId="0" xfId="0" applyFont="1" applyAlignment="1">
      <alignment horizontal="left" vertical="top"/>
    </xf>
    <xf numFmtId="0" fontId="57" fillId="0" borderId="0" xfId="0" applyFont="1"/>
    <xf numFmtId="0" fontId="58" fillId="0" borderId="0" xfId="0" applyFont="1" applyAlignment="1">
      <alignment wrapText="1"/>
    </xf>
    <xf numFmtId="0" fontId="56" fillId="0" borderId="0" xfId="0" applyFont="1"/>
    <xf numFmtId="0" fontId="93" fillId="0" borderId="0" xfId="0" applyFont="1"/>
    <xf numFmtId="0" fontId="94" fillId="0" borderId="0" xfId="0" applyFont="1"/>
    <xf numFmtId="0" fontId="86" fillId="19" borderId="7" xfId="0" applyFont="1" applyFill="1" applyBorder="1" applyAlignment="1">
      <alignment wrapText="1"/>
    </xf>
    <xf numFmtId="0" fontId="61" fillId="0" borderId="16" xfId="0" applyFont="1" applyBorder="1" applyAlignment="1">
      <alignment horizontal="center" wrapText="1"/>
    </xf>
    <xf numFmtId="0" fontId="61" fillId="0" borderId="16" xfId="0" applyFont="1" applyBorder="1" applyAlignment="1">
      <alignment horizontal="left" wrapText="1"/>
    </xf>
    <xf numFmtId="0" fontId="95" fillId="0" borderId="0" xfId="0" applyFont="1" applyAlignment="1">
      <alignment horizontal="left"/>
    </xf>
    <xf numFmtId="0" fontId="61" fillId="0" borderId="0" xfId="0" applyFont="1" applyAlignment="1">
      <alignment wrapText="1"/>
    </xf>
    <xf numFmtId="0" fontId="61" fillId="0" borderId="0" xfId="0" applyFont="1" applyAlignment="1">
      <alignment horizontal="left" wrapText="1"/>
    </xf>
    <xf numFmtId="0" fontId="61" fillId="0" borderId="0" xfId="0" applyFont="1" applyAlignment="1">
      <alignment horizontal="center" vertical="center" wrapText="1"/>
    </xf>
    <xf numFmtId="0" fontId="61" fillId="0" borderId="0" xfId="0" applyFont="1" applyAlignment="1">
      <alignment horizontal="left" vertical="top" wrapText="1"/>
    </xf>
    <xf numFmtId="0" fontId="61" fillId="0" borderId="0" xfId="0" applyFont="1" applyAlignment="1">
      <alignment horizontal="left" vertical="center" wrapText="1"/>
    </xf>
    <xf numFmtId="0" fontId="61" fillId="0" borderId="0" xfId="0" applyFont="1" applyAlignment="1">
      <alignment horizontal="center" wrapText="1"/>
    </xf>
    <xf numFmtId="0" fontId="61" fillId="0" borderId="0" xfId="0" applyFont="1" applyAlignment="1">
      <alignment vertical="top" wrapText="1"/>
    </xf>
    <xf numFmtId="0" fontId="96" fillId="0" borderId="0" xfId="0" applyFont="1" applyAlignment="1">
      <alignment horizontal="left"/>
    </xf>
    <xf numFmtId="0" fontId="55" fillId="0" borderId="0" xfId="0" applyFont="1" applyAlignment="1">
      <alignment horizontal="left" vertical="top" wrapText="1"/>
    </xf>
    <xf numFmtId="0" fontId="43" fillId="0" borderId="0" xfId="0" applyFont="1"/>
    <xf numFmtId="0" fontId="55" fillId="0" borderId="0" xfId="0" quotePrefix="1" applyFont="1" applyAlignment="1">
      <alignment wrapText="1"/>
    </xf>
    <xf numFmtId="0" fontId="55" fillId="0" borderId="0" xfId="0" applyFont="1" applyAlignment="1">
      <alignment horizontal="center" wrapText="1"/>
    </xf>
    <xf numFmtId="0" fontId="97" fillId="0" borderId="0" xfId="0" applyFont="1" applyAlignment="1">
      <alignment wrapText="1"/>
    </xf>
    <xf numFmtId="0" fontId="98" fillId="0" borderId="0" xfId="13" applyFont="1"/>
    <xf numFmtId="0" fontId="92" fillId="0" borderId="0" xfId="0" applyFont="1" applyAlignment="1">
      <alignment wrapText="1"/>
    </xf>
    <xf numFmtId="0" fontId="35" fillId="0" borderId="0" xfId="0" applyFont="1" applyAlignment="1">
      <alignment horizontal="center" wrapText="1"/>
    </xf>
    <xf numFmtId="0" fontId="84" fillId="5" borderId="0" xfId="0" applyFont="1" applyFill="1" applyAlignment="1">
      <alignment horizontal="center" vertical="center" wrapText="1"/>
    </xf>
    <xf numFmtId="0" fontId="52" fillId="0" borderId="0" xfId="0" applyFont="1" applyAlignment="1">
      <alignment horizontal="center" wrapText="1"/>
    </xf>
    <xf numFmtId="0" fontId="87" fillId="0" borderId="0" xfId="0" applyFont="1" applyAlignment="1">
      <alignment horizontal="center" wrapText="1"/>
    </xf>
    <xf numFmtId="0" fontId="86" fillId="0" borderId="0" xfId="0" applyFont="1" applyAlignment="1">
      <alignment horizontal="center" wrapText="1"/>
    </xf>
    <xf numFmtId="0" fontId="89" fillId="0" borderId="0" xfId="0" applyFont="1" applyAlignment="1">
      <alignment horizontal="center" wrapText="1"/>
    </xf>
    <xf numFmtId="0" fontId="55" fillId="0" borderId="0" xfId="0" applyFont="1" applyAlignment="1">
      <alignment horizontal="left" vertical="center" wrapText="1"/>
    </xf>
    <xf numFmtId="0" fontId="35" fillId="0" borderId="0" xfId="0" applyFont="1" applyProtection="1">
      <protection locked="0"/>
    </xf>
    <xf numFmtId="0" fontId="99" fillId="0" borderId="0" xfId="0" applyFont="1"/>
    <xf numFmtId="0" fontId="100" fillId="0" borderId="0" xfId="0" applyFont="1"/>
    <xf numFmtId="49" fontId="67" fillId="0" borderId="24" xfId="0" applyNumberFormat="1" applyFont="1" applyBorder="1" applyAlignment="1">
      <alignment horizontal="left" vertical="center" wrapText="1"/>
    </xf>
    <xf numFmtId="0" fontId="45" fillId="26" borderId="0" xfId="0" applyFont="1" applyFill="1" applyAlignment="1">
      <alignment horizontal="center" wrapText="1"/>
    </xf>
    <xf numFmtId="0" fontId="9" fillId="26" borderId="0" xfId="0" applyFont="1" applyFill="1"/>
    <xf numFmtId="0" fontId="62" fillId="27" borderId="0" xfId="0" applyFont="1" applyFill="1"/>
    <xf numFmtId="49" fontId="67" fillId="0" borderId="23" xfId="0" applyNumberFormat="1" applyFont="1" applyBorder="1" applyAlignment="1">
      <alignment horizontal="center" vertical="center" wrapText="1"/>
    </xf>
    <xf numFmtId="49" fontId="67" fillId="0" borderId="23" xfId="0" applyNumberFormat="1" applyFont="1" applyBorder="1" applyAlignment="1">
      <alignment horizontal="left" vertical="center"/>
    </xf>
    <xf numFmtId="0" fontId="36" fillId="28" borderId="0" xfId="0" applyFont="1" applyFill="1"/>
    <xf numFmtId="0" fontId="42" fillId="29" borderId="0" xfId="0" applyFont="1" applyFill="1" applyAlignment="1">
      <alignment wrapText="1"/>
    </xf>
    <xf numFmtId="0" fontId="47" fillId="0" borderId="28" xfId="0" applyFont="1" applyBorder="1"/>
    <xf numFmtId="0" fontId="36" fillId="30" borderId="0" xfId="0" applyFont="1" applyFill="1"/>
    <xf numFmtId="0" fontId="48" fillId="0" borderId="28" xfId="0" applyFont="1" applyBorder="1"/>
    <xf numFmtId="0" fontId="36" fillId="31" borderId="0" xfId="0" applyFont="1" applyFill="1"/>
    <xf numFmtId="0" fontId="101" fillId="0" borderId="28" xfId="0" applyFont="1" applyBorder="1"/>
    <xf numFmtId="0" fontId="36" fillId="32" borderId="1" xfId="0" applyFont="1" applyFill="1" applyBorder="1"/>
    <xf numFmtId="0" fontId="51" fillId="0" borderId="4" xfId="0" applyFont="1" applyBorder="1"/>
    <xf numFmtId="0" fontId="102" fillId="0" borderId="0" xfId="0" applyFont="1"/>
    <xf numFmtId="0" fontId="43" fillId="0" borderId="29" xfId="0" applyFont="1" applyBorder="1"/>
    <xf numFmtId="0" fontId="37" fillId="0" borderId="0" xfId="0" applyFont="1" applyAlignment="1">
      <alignment wrapText="1"/>
    </xf>
    <xf numFmtId="0" fontId="12" fillId="5" borderId="30" xfId="0" applyFont="1" applyFill="1" applyBorder="1"/>
    <xf numFmtId="0" fontId="12" fillId="5" borderId="7" xfId="0" applyFont="1" applyFill="1" applyBorder="1"/>
    <xf numFmtId="0" fontId="12" fillId="36" borderId="7" xfId="0" applyFont="1" applyFill="1" applyBorder="1" applyAlignment="1">
      <alignment wrapText="1"/>
    </xf>
    <xf numFmtId="0" fontId="12" fillId="33" borderId="7" xfId="0" applyFont="1" applyFill="1" applyBorder="1" applyAlignment="1">
      <alignment wrapText="1"/>
    </xf>
    <xf numFmtId="0" fontId="12" fillId="37" borderId="7" xfId="0" applyFont="1" applyFill="1" applyBorder="1" applyAlignment="1">
      <alignment wrapText="1"/>
    </xf>
    <xf numFmtId="0" fontId="12" fillId="34" borderId="7" xfId="0" applyFont="1" applyFill="1" applyBorder="1" applyAlignment="1">
      <alignment wrapText="1"/>
    </xf>
    <xf numFmtId="0" fontId="12" fillId="38" borderId="7" xfId="0" applyFont="1" applyFill="1" applyBorder="1"/>
    <xf numFmtId="0" fontId="12" fillId="35" borderId="7" xfId="0" applyFont="1" applyFill="1" applyBorder="1" applyAlignment="1">
      <alignment wrapText="1"/>
    </xf>
    <xf numFmtId="0" fontId="12" fillId="35" borderId="1" xfId="0" applyFont="1" applyFill="1" applyBorder="1" applyAlignment="1">
      <alignment wrapText="1"/>
    </xf>
    <xf numFmtId="0" fontId="104" fillId="0" borderId="0" xfId="0" applyFont="1"/>
    <xf numFmtId="0" fontId="7" fillId="39" borderId="7" xfId="0" applyFont="1" applyFill="1" applyBorder="1"/>
    <xf numFmtId="0" fontId="7" fillId="19" borderId="7" xfId="0" applyFont="1" applyFill="1" applyBorder="1" applyAlignment="1">
      <alignment wrapText="1"/>
    </xf>
    <xf numFmtId="0" fontId="7" fillId="19" borderId="7" xfId="0" quotePrefix="1" applyFont="1" applyFill="1" applyBorder="1" applyAlignment="1">
      <alignment wrapText="1"/>
    </xf>
    <xf numFmtId="0" fontId="26" fillId="40" borderId="7" xfId="0" applyFont="1" applyFill="1" applyBorder="1"/>
    <xf numFmtId="0" fontId="7" fillId="41" borderId="7" xfId="0" applyFont="1" applyFill="1" applyBorder="1" applyAlignment="1">
      <alignment wrapText="1"/>
    </xf>
    <xf numFmtId="0" fontId="7" fillId="42" borderId="7" xfId="0" applyFont="1" applyFill="1" applyBorder="1"/>
    <xf numFmtId="0" fontId="7" fillId="31" borderId="7" xfId="0" applyFont="1" applyFill="1" applyBorder="1"/>
    <xf numFmtId="0" fontId="7" fillId="0" borderId="7" xfId="0" applyFont="1" applyBorder="1" applyAlignment="1">
      <alignment wrapText="1"/>
    </xf>
    <xf numFmtId="0" fontId="7" fillId="0" borderId="7" xfId="0" quotePrefix="1" applyFont="1" applyBorder="1" applyAlignment="1">
      <alignment wrapText="1"/>
    </xf>
    <xf numFmtId="0" fontId="7" fillId="28" borderId="7" xfId="0" applyFont="1" applyFill="1" applyBorder="1" applyAlignment="1">
      <alignment wrapText="1"/>
    </xf>
    <xf numFmtId="0" fontId="7" fillId="43" borderId="7" xfId="0" applyFont="1" applyFill="1" applyBorder="1"/>
    <xf numFmtId="0" fontId="7" fillId="44" borderId="7" xfId="0" applyFont="1" applyFill="1" applyBorder="1" applyAlignment="1">
      <alignment wrapText="1"/>
    </xf>
    <xf numFmtId="0" fontId="32" fillId="41" borderId="7" xfId="0" applyFont="1" applyFill="1" applyBorder="1" applyAlignment="1">
      <alignment wrapText="1"/>
    </xf>
    <xf numFmtId="0" fontId="32" fillId="44" borderId="7" xfId="0" applyFont="1" applyFill="1" applyBorder="1" applyAlignment="1">
      <alignment wrapText="1"/>
    </xf>
    <xf numFmtId="0" fontId="7" fillId="45" borderId="7" xfId="0" applyFont="1" applyFill="1" applyBorder="1" applyAlignment="1">
      <alignment wrapText="1"/>
    </xf>
    <xf numFmtId="0" fontId="7" fillId="31" borderId="7" xfId="0" applyFont="1" applyFill="1" applyBorder="1" applyAlignment="1">
      <alignment wrapText="1"/>
    </xf>
    <xf numFmtId="0" fontId="7" fillId="42" borderId="7" xfId="0" applyFont="1" applyFill="1" applyBorder="1" applyAlignment="1">
      <alignment wrapText="1"/>
    </xf>
    <xf numFmtId="0" fontId="7" fillId="46" borderId="7" xfId="0" applyFont="1" applyFill="1" applyBorder="1" applyAlignment="1">
      <alignment wrapText="1"/>
    </xf>
    <xf numFmtId="0" fontId="32" fillId="46" borderId="7" xfId="0" applyFont="1" applyFill="1" applyBorder="1" applyAlignment="1">
      <alignment wrapText="1"/>
    </xf>
    <xf numFmtId="0" fontId="32" fillId="28" borderId="7" xfId="0" applyFont="1" applyFill="1" applyBorder="1" applyAlignment="1">
      <alignment wrapText="1"/>
    </xf>
    <xf numFmtId="0" fontId="7" fillId="30" borderId="7" xfId="0" applyFont="1" applyFill="1" applyBorder="1"/>
    <xf numFmtId="0" fontId="7" fillId="30" borderId="0" xfId="0" applyFont="1" applyFill="1"/>
    <xf numFmtId="0" fontId="7" fillId="40" borderId="7" xfId="0" applyFont="1" applyFill="1" applyBorder="1" applyAlignment="1">
      <alignment wrapText="1"/>
    </xf>
    <xf numFmtId="0" fontId="7" fillId="31" borderId="0" xfId="0" applyFont="1" applyFill="1"/>
    <xf numFmtId="0" fontId="7" fillId="43" borderId="0" xfId="0" applyFont="1" applyFill="1"/>
    <xf numFmtId="0" fontId="32" fillId="0" borderId="7" xfId="0" applyFont="1" applyBorder="1" applyAlignment="1">
      <alignment wrapText="1"/>
    </xf>
    <xf numFmtId="0" fontId="7" fillId="19" borderId="7" xfId="0" applyFont="1" applyFill="1" applyBorder="1"/>
    <xf numFmtId="0" fontId="7" fillId="40" borderId="7" xfId="0" applyFont="1" applyFill="1" applyBorder="1"/>
    <xf numFmtId="0" fontId="7" fillId="43" borderId="7" xfId="0" applyFont="1" applyFill="1" applyBorder="1" applyAlignment="1">
      <alignment wrapText="1"/>
    </xf>
    <xf numFmtId="0" fontId="7" fillId="0" borderId="7" xfId="0" applyFont="1" applyBorder="1"/>
    <xf numFmtId="0" fontId="7" fillId="19" borderId="0" xfId="0" applyFont="1" applyFill="1"/>
    <xf numFmtId="0" fontId="7" fillId="45" borderId="7" xfId="0" applyFont="1" applyFill="1" applyBorder="1"/>
    <xf numFmtId="0" fontId="32" fillId="31" borderId="7" xfId="0" applyFont="1" applyFill="1" applyBorder="1" applyAlignment="1">
      <alignment wrapText="1"/>
    </xf>
    <xf numFmtId="0" fontId="32" fillId="19" borderId="7" xfId="0" applyFont="1" applyFill="1" applyBorder="1" applyAlignment="1">
      <alignment wrapText="1"/>
    </xf>
    <xf numFmtId="0" fontId="105" fillId="43" borderId="7" xfId="0" applyFont="1" applyFill="1" applyBorder="1" applyAlignment="1">
      <alignment wrapText="1"/>
    </xf>
    <xf numFmtId="0" fontId="7" fillId="28" borderId="7" xfId="0" applyFont="1" applyFill="1" applyBorder="1"/>
    <xf numFmtId="0" fontId="105" fillId="28" borderId="7" xfId="0" applyFont="1" applyFill="1" applyBorder="1" applyAlignment="1">
      <alignment wrapText="1"/>
    </xf>
    <xf numFmtId="0" fontId="7" fillId="41" borderId="7" xfId="0" applyFont="1" applyFill="1" applyBorder="1"/>
    <xf numFmtId="0" fontId="7" fillId="41" borderId="0" xfId="0" applyFont="1" applyFill="1"/>
    <xf numFmtId="0" fontId="105" fillId="19" borderId="7" xfId="0" applyFont="1" applyFill="1" applyBorder="1" applyAlignment="1">
      <alignment wrapText="1"/>
    </xf>
    <xf numFmtId="0" fontId="105" fillId="31" borderId="7" xfId="0" applyFont="1" applyFill="1" applyBorder="1" applyAlignment="1">
      <alignment wrapText="1"/>
    </xf>
    <xf numFmtId="0" fontId="105" fillId="46" borderId="7" xfId="0" applyFont="1" applyFill="1" applyBorder="1" applyAlignment="1">
      <alignment wrapText="1"/>
    </xf>
    <xf numFmtId="0" fontId="105" fillId="44" borderId="7" xfId="0" applyFont="1" applyFill="1" applyBorder="1" applyAlignment="1">
      <alignment wrapText="1"/>
    </xf>
    <xf numFmtId="0" fontId="105" fillId="41" borderId="7" xfId="0" applyFont="1" applyFill="1" applyBorder="1" applyAlignment="1">
      <alignment wrapText="1"/>
    </xf>
    <xf numFmtId="0" fontId="15" fillId="0" borderId="31" xfId="0" applyFont="1" applyBorder="1" applyAlignment="1">
      <alignment wrapText="1"/>
    </xf>
    <xf numFmtId="0" fontId="15" fillId="0" borderId="32" xfId="0" applyFont="1" applyBorder="1" applyAlignment="1">
      <alignment wrapText="1"/>
    </xf>
    <xf numFmtId="0" fontId="15" fillId="42" borderId="32" xfId="0" applyFont="1" applyFill="1" applyBorder="1"/>
    <xf numFmtId="0" fontId="0" fillId="42" borderId="0" xfId="0" applyFill="1"/>
    <xf numFmtId="0" fontId="36" fillId="4" borderId="33" xfId="0" applyFont="1" applyFill="1" applyBorder="1"/>
    <xf numFmtId="0" fontId="36" fillId="0" borderId="33" xfId="0" applyFont="1" applyBorder="1"/>
    <xf numFmtId="0" fontId="36" fillId="0" borderId="28" xfId="0" applyFont="1" applyBorder="1"/>
    <xf numFmtId="0" fontId="36" fillId="0" borderId="34" xfId="0" applyFont="1" applyBorder="1"/>
    <xf numFmtId="0" fontId="36" fillId="4" borderId="28" xfId="0" applyFont="1" applyFill="1" applyBorder="1"/>
    <xf numFmtId="0" fontId="36" fillId="4" borderId="34" xfId="0" applyFont="1" applyFill="1" applyBorder="1"/>
    <xf numFmtId="0" fontId="38" fillId="0" borderId="28" xfId="0" applyFont="1" applyBorder="1"/>
    <xf numFmtId="0" fontId="38" fillId="0" borderId="34" xfId="0" applyFont="1" applyBorder="1"/>
    <xf numFmtId="0" fontId="36" fillId="0" borderId="35" xfId="0" applyFont="1" applyBorder="1"/>
    <xf numFmtId="0" fontId="12" fillId="47" borderId="7" xfId="0" applyFont="1" applyFill="1" applyBorder="1" applyAlignment="1">
      <alignment wrapText="1"/>
    </xf>
    <xf numFmtId="0" fontId="58" fillId="0" borderId="0" xfId="0" applyFont="1" applyAlignment="1">
      <alignment horizontal="center" wrapText="1"/>
    </xf>
    <xf numFmtId="0" fontId="58" fillId="0" borderId="16" xfId="0" applyFont="1" applyBorder="1" applyAlignment="1">
      <alignment horizontal="center" wrapText="1"/>
    </xf>
    <xf numFmtId="0" fontId="7" fillId="0" borderId="7" xfId="0" applyFont="1" applyBorder="1" applyAlignment="1">
      <alignment horizontal="left" wrapText="1"/>
    </xf>
    <xf numFmtId="0" fontId="58" fillId="0" borderId="0" xfId="0" applyFont="1" applyAlignment="1">
      <alignment horizontal="center" vertical="center" wrapText="1"/>
    </xf>
    <xf numFmtId="0" fontId="36" fillId="0" borderId="6" xfId="0" applyFont="1" applyBorder="1"/>
    <xf numFmtId="0" fontId="89" fillId="0" borderId="0" xfId="0" applyFont="1" applyAlignment="1">
      <alignment horizontal="left" wrapText="1"/>
    </xf>
    <xf numFmtId="0" fontId="58" fillId="0" borderId="0" xfId="0" applyFont="1" applyAlignment="1">
      <alignment horizontal="left" vertical="top" wrapText="1"/>
    </xf>
    <xf numFmtId="0" fontId="58" fillId="19" borderId="7" xfId="0" applyFont="1" applyFill="1" applyBorder="1" applyAlignment="1">
      <alignment wrapText="1"/>
    </xf>
    <xf numFmtId="0" fontId="84" fillId="5" borderId="0" xfId="0" applyFont="1" applyFill="1" applyAlignment="1">
      <alignment horizontal="center" vertical="center"/>
    </xf>
    <xf numFmtId="0" fontId="56" fillId="0" borderId="0" xfId="0" applyFont="1" applyAlignment="1">
      <alignment wrapText="1"/>
    </xf>
    <xf numFmtId="0" fontId="56" fillId="0" borderId="0" xfId="0" applyFont="1" applyAlignment="1">
      <alignment horizontal="left" vertical="top" wrapText="1"/>
    </xf>
    <xf numFmtId="0" fontId="56" fillId="20" borderId="0" xfId="0" applyFont="1" applyFill="1" applyAlignment="1">
      <alignment horizontal="left" vertical="top" wrapText="1"/>
    </xf>
    <xf numFmtId="0" fontId="110" fillId="0" borderId="0" xfId="0" applyFont="1" applyAlignment="1">
      <alignment wrapText="1"/>
    </xf>
    <xf numFmtId="0" fontId="111" fillId="0" borderId="0" xfId="0" applyFont="1" applyAlignment="1">
      <alignment horizontal="left" vertical="top" wrapText="1"/>
    </xf>
    <xf numFmtId="0" fontId="109" fillId="20" borderId="0" xfId="0" applyFont="1" applyFill="1" applyAlignment="1">
      <alignment wrapText="1"/>
    </xf>
    <xf numFmtId="0" fontId="111" fillId="0" borderId="0" xfId="0" applyFont="1" applyAlignment="1">
      <alignment wrapText="1"/>
    </xf>
    <xf numFmtId="0" fontId="95" fillId="0" borderId="0" xfId="0" applyFont="1" applyAlignment="1">
      <alignment wrapText="1"/>
    </xf>
    <xf numFmtId="0" fontId="56" fillId="20" borderId="0" xfId="0" applyFont="1" applyFill="1" applyAlignment="1">
      <alignment wrapText="1"/>
    </xf>
    <xf numFmtId="0" fontId="111" fillId="24" borderId="0" xfId="0" applyFont="1" applyFill="1" applyAlignment="1">
      <alignment horizontal="left" vertical="top" wrapText="1"/>
    </xf>
    <xf numFmtId="0" fontId="7" fillId="48" borderId="7" xfId="0" applyFont="1" applyFill="1" applyBorder="1" applyAlignment="1">
      <alignment vertical="center"/>
    </xf>
    <xf numFmtId="0" fontId="7" fillId="49" borderId="7" xfId="0" applyFont="1" applyFill="1" applyBorder="1" applyAlignment="1">
      <alignment wrapText="1"/>
    </xf>
    <xf numFmtId="0" fontId="7" fillId="50" borderId="7" xfId="0" applyFont="1" applyFill="1" applyBorder="1" applyAlignment="1">
      <alignment wrapText="1"/>
    </xf>
    <xf numFmtId="0" fontId="105" fillId="31" borderId="7" xfId="0" applyFont="1" applyFill="1" applyBorder="1" applyAlignment="1">
      <alignment vertical="center"/>
    </xf>
    <xf numFmtId="0" fontId="105" fillId="48" borderId="7" xfId="0" applyFont="1" applyFill="1" applyBorder="1" applyAlignment="1">
      <alignment vertical="center"/>
    </xf>
    <xf numFmtId="0" fontId="105" fillId="43" borderId="7" xfId="0" applyFont="1" applyFill="1" applyBorder="1" applyAlignment="1">
      <alignment vertical="center"/>
    </xf>
    <xf numFmtId="0" fontId="7" fillId="51" borderId="7" xfId="0" applyFont="1" applyFill="1" applyBorder="1" applyAlignment="1">
      <alignment wrapText="1"/>
    </xf>
    <xf numFmtId="0" fontId="7" fillId="52" borderId="7" xfId="0" applyFont="1" applyFill="1" applyBorder="1" applyAlignment="1">
      <alignment wrapText="1"/>
    </xf>
    <xf numFmtId="0" fontId="7" fillId="51" borderId="7" xfId="0" quotePrefix="1" applyFont="1" applyFill="1" applyBorder="1" applyAlignment="1">
      <alignment wrapText="1"/>
    </xf>
    <xf numFmtId="0" fontId="7" fillId="52" borderId="7" xfId="0" applyFont="1" applyFill="1" applyBorder="1" applyAlignment="1">
      <alignment horizontal="left" wrapText="1"/>
    </xf>
    <xf numFmtId="0" fontId="12" fillId="5" borderId="30" xfId="0" applyFont="1" applyFill="1" applyBorder="1" applyAlignment="1">
      <alignment horizontal="center" vertical="center"/>
    </xf>
    <xf numFmtId="0" fontId="82" fillId="15" borderId="0" xfId="0" applyFont="1" applyFill="1" applyAlignment="1">
      <alignment horizontal="center" vertical="center" wrapText="1"/>
    </xf>
    <xf numFmtId="0" fontId="82" fillId="15" borderId="0" xfId="0" applyFont="1" applyFill="1" applyAlignment="1">
      <alignment horizontal="left" vertical="center" wrapText="1"/>
    </xf>
    <xf numFmtId="0" fontId="7" fillId="24" borderId="0" xfId="0" applyFont="1" applyFill="1" applyAlignment="1">
      <alignment vertical="center"/>
    </xf>
    <xf numFmtId="0" fontId="7" fillId="24" borderId="0" xfId="0" applyFont="1" applyFill="1" applyAlignment="1">
      <alignment horizontal="center" vertical="center"/>
    </xf>
    <xf numFmtId="0" fontId="62" fillId="53" borderId="0" xfId="0" applyFont="1" applyFill="1"/>
    <xf numFmtId="0" fontId="114" fillId="0" borderId="0" xfId="0" applyFont="1" applyAlignment="1">
      <alignment wrapText="1"/>
    </xf>
    <xf numFmtId="0" fontId="36" fillId="0" borderId="29" xfId="0" applyFont="1" applyBorder="1"/>
    <xf numFmtId="0" fontId="115" fillId="34" borderId="0" xfId="0" applyFont="1" applyFill="1" applyAlignment="1">
      <alignment wrapText="1"/>
    </xf>
    <xf numFmtId="0" fontId="12" fillId="5" borderId="7" xfId="0" applyFont="1" applyFill="1" applyBorder="1" applyAlignment="1">
      <alignment wrapText="1"/>
    </xf>
    <xf numFmtId="0" fontId="12" fillId="34" borderId="36" xfId="0" applyFont="1" applyFill="1" applyBorder="1" applyAlignment="1">
      <alignment wrapText="1"/>
    </xf>
    <xf numFmtId="0" fontId="105" fillId="43" borderId="30" xfId="0" applyFont="1" applyFill="1" applyBorder="1"/>
    <xf numFmtId="0" fontId="105" fillId="31" borderId="7" xfId="0" applyFont="1" applyFill="1" applyBorder="1"/>
    <xf numFmtId="0" fontId="7" fillId="54" borderId="7" xfId="0" applyFont="1" applyFill="1" applyBorder="1" applyAlignment="1">
      <alignment wrapText="1"/>
    </xf>
    <xf numFmtId="0" fontId="7" fillId="55" borderId="7" xfId="0" applyFont="1" applyFill="1" applyBorder="1" applyAlignment="1">
      <alignment wrapText="1"/>
    </xf>
    <xf numFmtId="0" fontId="116" fillId="19" borderId="7" xfId="0" applyFont="1" applyFill="1" applyBorder="1"/>
    <xf numFmtId="0" fontId="116" fillId="19" borderId="36" xfId="0" applyFont="1" applyFill="1" applyBorder="1"/>
    <xf numFmtId="0" fontId="7" fillId="56" borderId="7" xfId="0" applyFont="1" applyFill="1" applyBorder="1" applyAlignment="1">
      <alignment wrapText="1"/>
    </xf>
    <xf numFmtId="0" fontId="7" fillId="56" borderId="37" xfId="0" applyFont="1" applyFill="1" applyBorder="1" applyAlignment="1">
      <alignment wrapText="1"/>
    </xf>
    <xf numFmtId="0" fontId="116" fillId="0" borderId="7" xfId="0" applyFont="1" applyBorder="1"/>
    <xf numFmtId="0" fontId="7" fillId="57" borderId="33" xfId="0" applyFont="1" applyFill="1" applyBorder="1"/>
    <xf numFmtId="0" fontId="116" fillId="58" borderId="7" xfId="0" applyFont="1" applyFill="1" applyBorder="1"/>
    <xf numFmtId="0" fontId="105" fillId="43" borderId="7" xfId="0" applyFont="1" applyFill="1" applyBorder="1"/>
    <xf numFmtId="0" fontId="12" fillId="5" borderId="38" xfId="0" applyFont="1" applyFill="1" applyBorder="1"/>
    <xf numFmtId="0" fontId="12" fillId="5" borderId="38" xfId="0" applyFont="1" applyFill="1" applyBorder="1" applyAlignment="1">
      <alignment wrapText="1"/>
    </xf>
    <xf numFmtId="0" fontId="12" fillId="37" borderId="38" xfId="0" applyFont="1" applyFill="1" applyBorder="1" applyAlignment="1">
      <alignment wrapText="1"/>
    </xf>
    <xf numFmtId="0" fontId="12" fillId="34" borderId="38" xfId="0" applyFont="1" applyFill="1" applyBorder="1" applyAlignment="1">
      <alignment wrapText="1"/>
    </xf>
    <xf numFmtId="0" fontId="105" fillId="43" borderId="39" xfId="0" applyFont="1" applyFill="1" applyBorder="1"/>
    <xf numFmtId="0" fontId="7" fillId="31" borderId="39" xfId="0" applyFont="1" applyFill="1" applyBorder="1"/>
    <xf numFmtId="0" fontId="105" fillId="31" borderId="39" xfId="0" applyFont="1" applyFill="1" applyBorder="1"/>
    <xf numFmtId="0" fontId="7" fillId="19" borderId="39" xfId="0" applyFont="1" applyFill="1" applyBorder="1" applyAlignment="1">
      <alignment wrapText="1"/>
    </xf>
    <xf numFmtId="0" fontId="116" fillId="19" borderId="39" xfId="0" applyFont="1" applyFill="1" applyBorder="1"/>
    <xf numFmtId="0" fontId="7" fillId="55" borderId="39" xfId="0" applyFont="1" applyFill="1" applyBorder="1" applyAlignment="1">
      <alignment wrapText="1"/>
    </xf>
    <xf numFmtId="0" fontId="7" fillId="19" borderId="7" xfId="0" applyFont="1" applyFill="1" applyBorder="1" applyAlignment="1">
      <alignment vertical="top" wrapText="1"/>
    </xf>
    <xf numFmtId="0" fontId="12" fillId="37" borderId="38" xfId="0" applyFont="1" applyFill="1" applyBorder="1" applyAlignment="1">
      <alignment vertical="top" wrapText="1"/>
    </xf>
    <xf numFmtId="0" fontId="12" fillId="5" borderId="38" xfId="0" applyFont="1" applyFill="1" applyBorder="1" applyAlignment="1">
      <alignment vertical="top"/>
    </xf>
    <xf numFmtId="0" fontId="12" fillId="5" borderId="38" xfId="0" applyFont="1" applyFill="1" applyBorder="1" applyAlignment="1">
      <alignment vertical="top" wrapText="1"/>
    </xf>
    <xf numFmtId="0" fontId="12" fillId="34" borderId="38" xfId="0" applyFont="1" applyFill="1" applyBorder="1" applyAlignment="1">
      <alignment vertical="top" wrapText="1"/>
    </xf>
    <xf numFmtId="0" fontId="9" fillId="38" borderId="0" xfId="0" applyFont="1" applyFill="1" applyAlignment="1">
      <alignment vertical="top"/>
    </xf>
    <xf numFmtId="0" fontId="9" fillId="33" borderId="0" xfId="0" applyFont="1" applyFill="1" applyAlignment="1">
      <alignment vertical="top" wrapText="1"/>
    </xf>
    <xf numFmtId="0" fontId="12" fillId="59" borderId="7" xfId="0" applyFont="1" applyFill="1" applyBorder="1" applyAlignment="1">
      <alignment vertical="top" wrapText="1"/>
    </xf>
    <xf numFmtId="0" fontId="9" fillId="33" borderId="1" xfId="0" applyFont="1" applyFill="1" applyBorder="1" applyAlignment="1">
      <alignment vertical="top" wrapText="1"/>
    </xf>
    <xf numFmtId="0" fontId="9" fillId="0" borderId="0" xfId="0" applyFont="1" applyAlignment="1">
      <alignment vertical="top"/>
    </xf>
    <xf numFmtId="0" fontId="0" fillId="0" borderId="0" xfId="0" applyAlignment="1">
      <alignment vertical="top"/>
    </xf>
    <xf numFmtId="0" fontId="7" fillId="19" borderId="0" xfId="0" applyFont="1" applyFill="1" applyAlignment="1">
      <alignment vertical="top" wrapText="1"/>
    </xf>
    <xf numFmtId="0" fontId="7" fillId="56" borderId="42" xfId="0" applyFont="1" applyFill="1" applyBorder="1" applyAlignment="1">
      <alignment vertical="top" wrapText="1"/>
    </xf>
    <xf numFmtId="0" fontId="7" fillId="56" borderId="43" xfId="0" applyFont="1" applyFill="1" applyBorder="1" applyAlignment="1">
      <alignment vertical="top" wrapText="1"/>
    </xf>
    <xf numFmtId="0" fontId="7" fillId="19" borderId="39" xfId="0" applyFont="1" applyFill="1" applyBorder="1" applyAlignment="1">
      <alignment vertical="top" wrapText="1"/>
    </xf>
    <xf numFmtId="0" fontId="7" fillId="31" borderId="44" xfId="0" applyFont="1" applyFill="1" applyBorder="1"/>
    <xf numFmtId="0" fontId="0" fillId="0" borderId="45" xfId="0" applyBorder="1"/>
    <xf numFmtId="0" fontId="0" fillId="0" borderId="46" xfId="0" applyBorder="1"/>
    <xf numFmtId="0" fontId="0" fillId="0" borderId="47" xfId="0" applyBorder="1"/>
    <xf numFmtId="0" fontId="0" fillId="0" borderId="48" xfId="0" applyBorder="1"/>
    <xf numFmtId="0" fontId="0" fillId="24" borderId="48" xfId="0" applyFill="1" applyBorder="1"/>
    <xf numFmtId="0" fontId="55" fillId="0" borderId="0" xfId="0" applyFont="1" applyAlignment="1">
      <alignment horizontal="center"/>
    </xf>
    <xf numFmtId="0" fontId="12" fillId="5" borderId="49" xfId="0" applyFont="1" applyFill="1" applyBorder="1"/>
    <xf numFmtId="0" fontId="12" fillId="5" borderId="39" xfId="0" applyFont="1" applyFill="1" applyBorder="1" applyAlignment="1">
      <alignment wrapText="1"/>
    </xf>
    <xf numFmtId="0" fontId="12" fillId="37" borderId="39" xfId="0" applyFont="1" applyFill="1" applyBorder="1" applyAlignment="1">
      <alignment wrapText="1"/>
    </xf>
    <xf numFmtId="0" fontId="12" fillId="37" borderId="39" xfId="0" applyFont="1" applyFill="1" applyBorder="1" applyAlignment="1">
      <alignment vertical="top" wrapText="1"/>
    </xf>
    <xf numFmtId="0" fontId="12" fillId="37" borderId="50" xfId="0" applyFont="1" applyFill="1" applyBorder="1" applyAlignment="1">
      <alignment wrapText="1"/>
    </xf>
    <xf numFmtId="0" fontId="117" fillId="0" borderId="30" xfId="0" applyFont="1" applyBorder="1"/>
    <xf numFmtId="0" fontId="7" fillId="51" borderId="7" xfId="0" applyFont="1" applyFill="1" applyBorder="1" applyAlignment="1">
      <alignment horizontal="left" wrapText="1"/>
    </xf>
    <xf numFmtId="0" fontId="44" fillId="0" borderId="0" xfId="0" applyFont="1"/>
    <xf numFmtId="0" fontId="105" fillId="48" borderId="38" xfId="0" applyFont="1" applyFill="1" applyBorder="1" applyAlignment="1">
      <alignment vertical="center"/>
    </xf>
    <xf numFmtId="0" fontId="105" fillId="48" borderId="39" xfId="0" applyFont="1" applyFill="1" applyBorder="1" applyAlignment="1">
      <alignment vertical="center"/>
    </xf>
    <xf numFmtId="0" fontId="7" fillId="48" borderId="38" xfId="0" applyFont="1" applyFill="1" applyBorder="1" applyAlignment="1">
      <alignment vertical="center"/>
    </xf>
    <xf numFmtId="0" fontId="7" fillId="48" borderId="39" xfId="0" applyFont="1" applyFill="1" applyBorder="1" applyAlignment="1">
      <alignment vertical="center"/>
    </xf>
    <xf numFmtId="0" fontId="105" fillId="31" borderId="30" xfId="0" applyFont="1" applyFill="1" applyBorder="1"/>
    <xf numFmtId="0" fontId="105" fillId="31" borderId="39" xfId="0" applyFont="1" applyFill="1" applyBorder="1" applyAlignment="1">
      <alignment vertical="center"/>
    </xf>
    <xf numFmtId="0" fontId="7" fillId="0" borderId="39" xfId="0" applyFont="1" applyBorder="1" applyAlignment="1">
      <alignment wrapText="1"/>
    </xf>
    <xf numFmtId="0" fontId="7" fillId="46" borderId="39" xfId="0" applyFont="1" applyFill="1" applyBorder="1" applyAlignment="1">
      <alignment wrapText="1"/>
    </xf>
    <xf numFmtId="0" fontId="105" fillId="43" borderId="52" xfId="0" applyFont="1" applyFill="1" applyBorder="1" applyAlignment="1">
      <alignment vertical="center"/>
    </xf>
    <xf numFmtId="0" fontId="7" fillId="48" borderId="52" xfId="0" applyFont="1" applyFill="1" applyBorder="1" applyAlignment="1">
      <alignment vertical="center"/>
    </xf>
    <xf numFmtId="0" fontId="105" fillId="48" borderId="52" xfId="0" applyFont="1" applyFill="1" applyBorder="1" applyAlignment="1">
      <alignment vertical="center"/>
    </xf>
    <xf numFmtId="0" fontId="7" fillId="19" borderId="52" xfId="0" applyFont="1" applyFill="1" applyBorder="1" applyAlignment="1">
      <alignment wrapText="1"/>
    </xf>
    <xf numFmtId="0" fontId="7" fillId="19" borderId="52" xfId="0" quotePrefix="1" applyFont="1" applyFill="1" applyBorder="1" applyAlignment="1">
      <alignment wrapText="1"/>
    </xf>
    <xf numFmtId="0" fontId="0" fillId="0" borderId="51" xfId="0" applyBorder="1"/>
    <xf numFmtId="0" fontId="7" fillId="46" borderId="52" xfId="0" applyFont="1" applyFill="1" applyBorder="1" applyAlignment="1">
      <alignment wrapText="1"/>
    </xf>
    <xf numFmtId="0" fontId="55" fillId="0" borderId="51" xfId="0" applyFont="1" applyBorder="1" applyAlignment="1">
      <alignment horizontal="center"/>
    </xf>
    <xf numFmtId="0" fontId="55" fillId="0" borderId="51" xfId="0" applyFont="1" applyBorder="1"/>
    <xf numFmtId="0" fontId="105" fillId="24" borderId="53" xfId="0" applyFont="1" applyFill="1" applyBorder="1"/>
    <xf numFmtId="0" fontId="105" fillId="43" borderId="52" xfId="0" applyFont="1" applyFill="1" applyBorder="1"/>
    <xf numFmtId="0" fontId="7" fillId="31" borderId="52" xfId="0" applyFont="1" applyFill="1" applyBorder="1"/>
    <xf numFmtId="0" fontId="105" fillId="31" borderId="52" xfId="0" applyFont="1" applyFill="1" applyBorder="1"/>
    <xf numFmtId="0" fontId="7" fillId="19" borderId="51" xfId="0" applyFont="1" applyFill="1" applyBorder="1" applyAlignment="1">
      <alignment vertical="top" wrapText="1"/>
    </xf>
    <xf numFmtId="0" fontId="7" fillId="57" borderId="51" xfId="0" applyFont="1" applyFill="1" applyBorder="1"/>
    <xf numFmtId="0" fontId="116" fillId="19" borderId="52" xfId="0" applyFont="1" applyFill="1" applyBorder="1"/>
    <xf numFmtId="0" fontId="7" fillId="55" borderId="52" xfId="0" applyFont="1" applyFill="1" applyBorder="1" applyAlignment="1">
      <alignment wrapText="1"/>
    </xf>
    <xf numFmtId="0" fontId="105" fillId="31" borderId="52" xfId="0" applyFont="1" applyFill="1" applyBorder="1" applyAlignment="1">
      <alignment vertical="center"/>
    </xf>
    <xf numFmtId="0" fontId="105" fillId="48" borderId="51" xfId="0" applyFont="1" applyFill="1" applyBorder="1" applyAlignment="1">
      <alignment vertical="center"/>
    </xf>
    <xf numFmtId="0" fontId="7" fillId="52" borderId="52" xfId="0" applyFont="1" applyFill="1" applyBorder="1" applyAlignment="1">
      <alignment wrapText="1"/>
    </xf>
    <xf numFmtId="0" fontId="7" fillId="0" borderId="51" xfId="0" applyFont="1" applyBorder="1" applyAlignment="1">
      <alignment wrapText="1"/>
    </xf>
    <xf numFmtId="0" fontId="7" fillId="0" borderId="51" xfId="0" applyFont="1" applyBorder="1" applyAlignment="1">
      <alignment horizontal="left" wrapText="1"/>
    </xf>
    <xf numFmtId="0" fontId="61" fillId="0" borderId="51" xfId="0" applyFont="1" applyBorder="1" applyAlignment="1">
      <alignment wrapText="1"/>
    </xf>
    <xf numFmtId="0" fontId="0" fillId="0" borderId="51" xfId="0" applyBorder="1" applyAlignment="1">
      <alignment horizontal="center"/>
    </xf>
    <xf numFmtId="0" fontId="55" fillId="14" borderId="0" xfId="0" applyFont="1" applyFill="1" applyAlignment="1">
      <alignment wrapText="1"/>
    </xf>
    <xf numFmtId="0" fontId="55" fillId="14" borderId="0" xfId="0" applyFont="1" applyFill="1" applyAlignment="1">
      <alignment horizontal="left"/>
    </xf>
    <xf numFmtId="0" fontId="86" fillId="14" borderId="0" xfId="0" applyFont="1" applyFill="1" applyAlignment="1">
      <alignment horizontal="left"/>
    </xf>
    <xf numFmtId="0" fontId="58" fillId="0" borderId="0" xfId="0" applyFont="1" applyAlignment="1">
      <alignment horizontal="left" wrapText="1"/>
    </xf>
    <xf numFmtId="0" fontId="118" fillId="0" borderId="0" xfId="0" applyFont="1" applyAlignment="1">
      <alignment horizontal="left" wrapText="1"/>
    </xf>
    <xf numFmtId="0" fontId="58" fillId="0" borderId="0" xfId="0" applyFont="1" applyAlignment="1">
      <alignment vertical="top" wrapText="1"/>
    </xf>
    <xf numFmtId="0" fontId="58" fillId="26" borderId="0" xfId="0" applyFont="1" applyFill="1"/>
    <xf numFmtId="0" fontId="58" fillId="20" borderId="0" xfId="0" applyFont="1" applyFill="1" applyAlignment="1">
      <alignment horizontal="left" vertical="top" wrapText="1"/>
    </xf>
    <xf numFmtId="0" fontId="116" fillId="19" borderId="7" xfId="0" applyFont="1" applyFill="1" applyBorder="1" applyAlignment="1">
      <alignment horizontal="center" vertical="center"/>
    </xf>
    <xf numFmtId="0" fontId="116" fillId="19" borderId="36" xfId="0" applyFont="1" applyFill="1" applyBorder="1" applyAlignment="1">
      <alignment horizontal="center" vertical="center"/>
    </xf>
    <xf numFmtId="0" fontId="86" fillId="0" borderId="0" xfId="0" applyFont="1"/>
    <xf numFmtId="0" fontId="86" fillId="0" borderId="51" xfId="0" applyFont="1" applyBorder="1"/>
    <xf numFmtId="0" fontId="7" fillId="19" borderId="39" xfId="0" applyFont="1" applyFill="1" applyBorder="1"/>
    <xf numFmtId="0" fontId="26" fillId="19" borderId="39" xfId="0" applyFont="1" applyFill="1" applyBorder="1"/>
    <xf numFmtId="0" fontId="7" fillId="19" borderId="52" xfId="0" applyFont="1" applyFill="1" applyBorder="1"/>
    <xf numFmtId="0" fontId="119" fillId="0" borderId="0" xfId="0" applyFont="1" applyAlignment="1">
      <alignment wrapText="1"/>
    </xf>
    <xf numFmtId="0" fontId="119" fillId="0" borderId="0" xfId="0" applyFont="1" applyAlignment="1">
      <alignment horizontal="left"/>
    </xf>
    <xf numFmtId="0" fontId="120" fillId="0" borderId="0" xfId="0" applyFont="1" applyAlignment="1">
      <alignment horizontal="left"/>
    </xf>
    <xf numFmtId="0" fontId="121" fillId="0" borderId="0" xfId="0" applyFont="1" applyAlignment="1">
      <alignment vertical="top" wrapText="1"/>
    </xf>
    <xf numFmtId="0" fontId="121" fillId="0" borderId="0" xfId="0" applyFont="1" applyAlignment="1">
      <alignment horizontal="left" wrapText="1"/>
    </xf>
    <xf numFmtId="0" fontId="121" fillId="0" borderId="0" xfId="0" applyFont="1" applyAlignment="1">
      <alignment wrapText="1"/>
    </xf>
    <xf numFmtId="0" fontId="110" fillId="0" borderId="0" xfId="0" applyFont="1" applyAlignment="1">
      <alignment horizontal="left" wrapText="1"/>
    </xf>
    <xf numFmtId="0" fontId="110" fillId="0" borderId="0" xfId="0" applyFont="1" applyAlignment="1">
      <alignment horizontal="center" vertical="center" wrapText="1"/>
    </xf>
    <xf numFmtId="0" fontId="110" fillId="20" borderId="0" xfId="0" applyFont="1" applyFill="1" applyAlignment="1">
      <alignment wrapText="1"/>
    </xf>
    <xf numFmtId="0" fontId="122" fillId="0" borderId="0" xfId="0" applyFont="1" applyAlignment="1">
      <alignment horizontal="center" wrapText="1"/>
    </xf>
    <xf numFmtId="0" fontId="121" fillId="0" borderId="0" xfId="0" applyFont="1" applyAlignment="1">
      <alignment horizontal="center" vertical="center" wrapText="1"/>
    </xf>
    <xf numFmtId="0" fontId="121" fillId="0" borderId="16" xfId="0" applyFont="1" applyBorder="1" applyAlignment="1">
      <alignment horizontal="center" wrapText="1"/>
    </xf>
    <xf numFmtId="0" fontId="119" fillId="26" borderId="0" xfId="0" applyFont="1" applyFill="1"/>
    <xf numFmtId="0" fontId="123" fillId="20" borderId="0" xfId="0" applyFont="1" applyFill="1" applyAlignment="1">
      <alignment horizontal="left" vertical="top" wrapText="1"/>
    </xf>
    <xf numFmtId="0" fontId="124" fillId="0" borderId="0" xfId="0" applyFont="1" applyAlignment="1">
      <alignment wrapText="1"/>
    </xf>
    <xf numFmtId="0" fontId="121" fillId="0" borderId="16" xfId="0" applyFont="1" applyBorder="1" applyAlignment="1">
      <alignment horizontal="left" wrapText="1"/>
    </xf>
    <xf numFmtId="0" fontId="110" fillId="0" borderId="0" xfId="0" applyFont="1" applyAlignment="1">
      <alignment horizontal="center" wrapText="1"/>
    </xf>
    <xf numFmtId="0" fontId="121" fillId="0" borderId="0" xfId="0" applyFont="1"/>
    <xf numFmtId="0" fontId="59" fillId="60" borderId="0" xfId="0" applyFont="1" applyFill="1" applyAlignment="1">
      <alignment horizontal="left"/>
    </xf>
    <xf numFmtId="0" fontId="7" fillId="60" borderId="0" xfId="0" applyFont="1" applyFill="1"/>
    <xf numFmtId="0" fontId="86" fillId="60" borderId="0" xfId="0" applyFont="1" applyFill="1" applyAlignment="1">
      <alignment horizontal="left"/>
    </xf>
    <xf numFmtId="0" fontId="105" fillId="0" borderId="0" xfId="0" applyFont="1"/>
    <xf numFmtId="0" fontId="125" fillId="0" borderId="0" xfId="0" applyFont="1" applyAlignment="1">
      <alignment wrapText="1"/>
    </xf>
    <xf numFmtId="0" fontId="83" fillId="51" borderId="0" xfId="0" applyFont="1" applyFill="1" applyAlignment="1">
      <alignment horizontal="left"/>
    </xf>
    <xf numFmtId="0" fontId="120" fillId="51" borderId="0" xfId="0" applyFont="1" applyFill="1" applyAlignment="1">
      <alignment horizontal="left"/>
    </xf>
    <xf numFmtId="0" fontId="126" fillId="0" borderId="0" xfId="0" applyFont="1" applyAlignment="1">
      <alignment wrapText="1"/>
    </xf>
    <xf numFmtId="0" fontId="126" fillId="0" borderId="0" xfId="0" applyFont="1" applyAlignment="1">
      <alignment horizontal="left"/>
    </xf>
    <xf numFmtId="0" fontId="126" fillId="0" borderId="0" xfId="0" applyFont="1"/>
    <xf numFmtId="0" fontId="126" fillId="0" borderId="0" xfId="0" applyFont="1" applyAlignment="1">
      <alignment horizontal="left" wrapText="1"/>
    </xf>
    <xf numFmtId="0" fontId="126" fillId="0" borderId="0" xfId="0" applyFont="1" applyAlignment="1">
      <alignment horizontal="center" vertical="center" wrapText="1"/>
    </xf>
    <xf numFmtId="0" fontId="126" fillId="0" borderId="0" xfId="0" applyFont="1" applyAlignment="1">
      <alignment horizontal="center" wrapText="1"/>
    </xf>
    <xf numFmtId="0" fontId="126" fillId="0" borderId="16" xfId="0" applyFont="1" applyBorder="1" applyAlignment="1">
      <alignment horizontal="center" wrapText="1"/>
    </xf>
    <xf numFmtId="0" fontId="126" fillId="26" borderId="0" xfId="0" applyFont="1" applyFill="1"/>
    <xf numFmtId="0" fontId="126" fillId="0" borderId="0" xfId="0" applyFont="1" applyAlignment="1">
      <alignment horizontal="left" vertical="top" wrapText="1"/>
    </xf>
    <xf numFmtId="0" fontId="126" fillId="0" borderId="16" xfId="0" applyFont="1" applyBorder="1" applyAlignment="1">
      <alignment horizontal="left" wrapText="1"/>
    </xf>
    <xf numFmtId="0" fontId="58" fillId="24" borderId="0" xfId="0" applyFont="1" applyFill="1" applyAlignment="1">
      <alignment horizontal="left" vertical="top" wrapText="1"/>
    </xf>
    <xf numFmtId="0" fontId="118" fillId="0" borderId="0" xfId="0" applyFont="1" applyAlignment="1">
      <alignment wrapText="1"/>
    </xf>
    <xf numFmtId="0" fontId="2" fillId="0" borderId="0" xfId="0" applyFont="1"/>
    <xf numFmtId="0" fontId="111" fillId="0" borderId="0" xfId="0" applyFont="1" applyAlignment="1">
      <alignment horizontal="left"/>
    </xf>
    <xf numFmtId="0" fontId="111" fillId="0" borderId="0" xfId="0" applyFont="1" applyAlignment="1">
      <alignment horizontal="left" wrapText="1"/>
    </xf>
    <xf numFmtId="0" fontId="111" fillId="0" borderId="0" xfId="0" applyFont="1" applyAlignment="1">
      <alignment horizontal="center" vertical="center" wrapText="1"/>
    </xf>
    <xf numFmtId="0" fontId="127" fillId="0" borderId="0" xfId="0" applyFont="1" applyAlignment="1">
      <alignment wrapText="1"/>
    </xf>
    <xf numFmtId="0" fontId="111" fillId="0" borderId="0" xfId="0" applyFont="1" applyAlignment="1">
      <alignment horizontal="center" wrapText="1"/>
    </xf>
    <xf numFmtId="0" fontId="111" fillId="0" borderId="16" xfId="0" applyFont="1" applyBorder="1" applyAlignment="1">
      <alignment horizontal="center" wrapText="1"/>
    </xf>
    <xf numFmtId="0" fontId="111" fillId="26" borderId="0" xfId="0" applyFont="1" applyFill="1"/>
    <xf numFmtId="0" fontId="111" fillId="0" borderId="16" xfId="0" applyFont="1" applyBorder="1" applyAlignment="1">
      <alignment horizontal="left" wrapText="1"/>
    </xf>
    <xf numFmtId="0" fontId="111" fillId="0" borderId="0" xfId="0" applyFont="1"/>
    <xf numFmtId="0" fontId="128" fillId="0" borderId="0" xfId="0" applyFont="1"/>
    <xf numFmtId="0" fontId="111" fillId="0" borderId="0" xfId="0" quotePrefix="1" applyFont="1" applyAlignment="1">
      <alignment wrapText="1"/>
    </xf>
    <xf numFmtId="0" fontId="128" fillId="0" borderId="0" xfId="0" applyFont="1" applyAlignment="1">
      <alignment horizontal="center" wrapText="1"/>
    </xf>
    <xf numFmtId="0" fontId="128" fillId="0" borderId="0" xfId="0" applyFont="1" applyAlignment="1">
      <alignment wrapText="1"/>
    </xf>
    <xf numFmtId="0" fontId="128" fillId="0" borderId="0" xfId="0" applyFont="1" applyAlignment="1">
      <alignment horizontal="left" vertical="top" wrapText="1"/>
    </xf>
    <xf numFmtId="0" fontId="128" fillId="0" borderId="0" xfId="0" applyFont="1" applyAlignment="1">
      <alignment horizontal="left" wrapText="1"/>
    </xf>
    <xf numFmtId="0" fontId="129" fillId="0" borderId="0" xfId="0" applyFont="1" applyAlignment="1">
      <alignment horizontal="center" vertical="center"/>
    </xf>
    <xf numFmtId="0" fontId="129" fillId="0" borderId="0" xfId="0" applyFont="1"/>
    <xf numFmtId="0" fontId="130" fillId="0" borderId="0" xfId="13" applyFont="1"/>
    <xf numFmtId="0" fontId="55" fillId="20" borderId="0" xfId="0" applyFont="1" applyFill="1" applyAlignment="1">
      <alignment horizontal="left"/>
    </xf>
    <xf numFmtId="0" fontId="60" fillId="23" borderId="0" xfId="0" applyFont="1" applyFill="1" applyAlignment="1">
      <alignment wrapText="1"/>
    </xf>
    <xf numFmtId="0" fontId="86" fillId="61" borderId="0" xfId="0" applyFont="1" applyFill="1" applyAlignment="1">
      <alignment horizontal="left"/>
    </xf>
    <xf numFmtId="0" fontId="61" fillId="61" borderId="0" xfId="0" applyFont="1" applyFill="1" applyAlignment="1">
      <alignment horizontal="left"/>
    </xf>
    <xf numFmtId="0" fontId="59" fillId="61" borderId="0" xfId="0" applyFont="1" applyFill="1" applyAlignment="1">
      <alignment horizontal="left"/>
    </xf>
    <xf numFmtId="0" fontId="86" fillId="20" borderId="0" xfId="0" applyFont="1" applyFill="1" applyAlignment="1">
      <alignment horizontal="left"/>
    </xf>
    <xf numFmtId="0" fontId="1" fillId="0" borderId="0" xfId="0" applyFont="1" applyAlignment="1">
      <alignment wrapText="1"/>
    </xf>
    <xf numFmtId="0" fontId="63" fillId="15" borderId="8" xfId="0" applyFont="1" applyFill="1" applyBorder="1" applyAlignment="1">
      <alignment horizontal="left"/>
    </xf>
    <xf numFmtId="0" fontId="63" fillId="15" borderId="9" xfId="0" applyFont="1" applyFill="1" applyBorder="1" applyAlignment="1">
      <alignment horizontal="left"/>
    </xf>
    <xf numFmtId="49" fontId="67" fillId="0" borderId="23" xfId="0" applyNumberFormat="1" applyFont="1" applyBorder="1" applyAlignment="1">
      <alignment horizontal="center" vertical="center" wrapText="1"/>
    </xf>
    <xf numFmtId="49" fontId="68" fillId="0" borderId="17" xfId="0" applyNumberFormat="1" applyFont="1" applyBorder="1" applyAlignment="1">
      <alignment horizontal="center"/>
    </xf>
    <xf numFmtId="49" fontId="68" fillId="0" borderId="18" xfId="0" applyNumberFormat="1" applyFont="1" applyBorder="1" applyAlignment="1">
      <alignment horizontal="center"/>
    </xf>
    <xf numFmtId="49" fontId="68" fillId="0" borderId="19" xfId="0" applyNumberFormat="1" applyFont="1" applyBorder="1" applyAlignment="1">
      <alignment horizontal="center"/>
    </xf>
    <xf numFmtId="49" fontId="77" fillId="0" borderId="20" xfId="0" applyNumberFormat="1" applyFont="1" applyBorder="1" applyAlignment="1">
      <alignment horizontal="center" vertical="center" wrapText="1"/>
    </xf>
    <xf numFmtId="49" fontId="77" fillId="0" borderId="21" xfId="0" applyNumberFormat="1" applyFont="1" applyBorder="1" applyAlignment="1">
      <alignment horizontal="center" vertical="center" wrapText="1"/>
    </xf>
    <xf numFmtId="49" fontId="77" fillId="0" borderId="22" xfId="0" applyNumberFormat="1" applyFont="1" applyBorder="1" applyAlignment="1">
      <alignment horizontal="center" vertical="center" wrapText="1"/>
    </xf>
    <xf numFmtId="49" fontId="67" fillId="0" borderId="23" xfId="0" applyNumberFormat="1" applyFont="1" applyBorder="1" applyAlignment="1">
      <alignment horizontal="center" vertical="center"/>
    </xf>
    <xf numFmtId="49" fontId="67" fillId="0" borderId="23" xfId="0" applyNumberFormat="1" applyFont="1" applyBorder="1" applyAlignment="1">
      <alignment horizontal="left" vertical="center"/>
    </xf>
    <xf numFmtId="49" fontId="71" fillId="0" borderId="0" xfId="0" applyNumberFormat="1" applyFont="1" applyAlignment="1">
      <alignment horizontal="left" vertical="top"/>
    </xf>
    <xf numFmtId="49" fontId="67" fillId="0" borderId="0" xfId="0" applyNumberFormat="1" applyFont="1" applyAlignment="1">
      <alignment horizontal="left" vertical="top"/>
    </xf>
    <xf numFmtId="0" fontId="42" fillId="13" borderId="0" xfId="0" applyFont="1" applyFill="1" applyAlignment="1">
      <alignment horizontal="center" vertical="center" wrapText="1"/>
    </xf>
    <xf numFmtId="0" fontId="35" fillId="0" borderId="0" xfId="0" applyFont="1" applyAlignment="1">
      <alignment horizontal="center" wrapText="1"/>
    </xf>
    <xf numFmtId="0" fontId="60" fillId="21" borderId="0" xfId="0" applyFont="1" applyFill="1" applyAlignment="1">
      <alignment horizontal="center" wrapText="1"/>
    </xf>
    <xf numFmtId="0" fontId="60" fillId="23" borderId="0" xfId="0" applyFont="1" applyFill="1" applyAlignment="1">
      <alignment horizontal="center" wrapText="1"/>
    </xf>
    <xf numFmtId="0" fontId="42" fillId="29" borderId="0" xfId="0" applyFont="1" applyFill="1" applyAlignment="1">
      <alignment wrapText="1"/>
    </xf>
    <xf numFmtId="0" fontId="37" fillId="33" borderId="0" xfId="0" applyFont="1" applyFill="1" applyAlignment="1">
      <alignment wrapText="1"/>
    </xf>
    <xf numFmtId="0" fontId="37" fillId="34" borderId="0" xfId="0" applyFont="1" applyFill="1" applyAlignment="1">
      <alignment wrapText="1"/>
    </xf>
    <xf numFmtId="0" fontId="37" fillId="35" borderId="0" xfId="0" applyFont="1" applyFill="1" applyAlignment="1">
      <alignment wrapText="1"/>
    </xf>
    <xf numFmtId="0" fontId="113" fillId="23" borderId="0" xfId="0" applyFont="1" applyFill="1" applyAlignment="1">
      <alignment horizontal="center" wrapText="1"/>
    </xf>
    <xf numFmtId="0" fontId="62" fillId="53" borderId="40" xfId="0" applyFont="1" applyFill="1" applyBorder="1" applyAlignment="1">
      <alignment horizontal="center" vertical="center"/>
    </xf>
    <xf numFmtId="0" fontId="62" fillId="53" borderId="29" xfId="0" applyFont="1" applyFill="1" applyBorder="1" applyAlignment="1">
      <alignment horizontal="center" vertical="center"/>
    </xf>
    <xf numFmtId="0" fontId="36" fillId="32" borderId="41" xfId="0" applyFont="1" applyFill="1" applyBorder="1" applyAlignment="1">
      <alignment horizontal="center" vertical="center"/>
    </xf>
    <xf numFmtId="0" fontId="36" fillId="32" borderId="34" xfId="0" applyFont="1" applyFill="1" applyBorder="1" applyAlignment="1">
      <alignment horizontal="center" vertical="center"/>
    </xf>
    <xf numFmtId="0" fontId="36" fillId="31" borderId="0" xfId="0" applyFont="1" applyFill="1" applyAlignment="1">
      <alignment horizontal="center" vertical="center"/>
    </xf>
    <xf numFmtId="0" fontId="36" fillId="30" borderId="0" xfId="0" applyFont="1" applyFill="1" applyAlignment="1">
      <alignment horizontal="center" vertical="center"/>
    </xf>
    <xf numFmtId="0" fontId="36" fillId="28" borderId="0" xfId="0" applyFont="1" applyFill="1" applyAlignment="1">
      <alignment horizontal="center" vertical="center"/>
    </xf>
    <xf numFmtId="0" fontId="35" fillId="0" borderId="0" xfId="0" applyFont="1" applyAlignment="1">
      <alignment wrapText="1"/>
    </xf>
    <xf numFmtId="0" fontId="115" fillId="34" borderId="0" xfId="0" applyFont="1" applyFill="1" applyAlignment="1">
      <alignment wrapText="1"/>
    </xf>
    <xf numFmtId="0" fontId="7" fillId="0" borderId="0" xfId="0" applyFont="1" applyAlignment="1">
      <alignment horizontal="left" vertical="top" wrapText="1"/>
    </xf>
    <xf numFmtId="0" fontId="7" fillId="0" borderId="0" xfId="0" applyFont="1" applyAlignment="1">
      <alignment horizontal="left" vertical="center" wrapText="1"/>
    </xf>
    <xf numFmtId="0" fontId="0" fillId="5" borderId="1" xfId="0" applyFill="1" applyBorder="1" applyAlignment="1"/>
    <xf numFmtId="0" fontId="1" fillId="0" borderId="0" xfId="0" applyFont="1" applyAlignment="1">
      <alignment horizontal="left"/>
    </xf>
    <xf numFmtId="0" fontId="1" fillId="0" borderId="0" xfId="0" applyFont="1" applyAlignment="1">
      <alignment horizontal="left" wrapText="1"/>
    </xf>
    <xf numFmtId="0" fontId="1" fillId="0" borderId="0" xfId="0" applyFont="1" applyAlignment="1">
      <alignment horizontal="center" vertical="center" wrapText="1"/>
    </xf>
    <xf numFmtId="0" fontId="1" fillId="0" borderId="0" xfId="0" applyFont="1" applyAlignment="1">
      <alignment horizontal="center" wrapText="1"/>
    </xf>
    <xf numFmtId="0" fontId="1" fillId="0" borderId="16" xfId="0" applyFont="1" applyBorder="1" applyAlignment="1">
      <alignment horizontal="center" wrapText="1"/>
    </xf>
    <xf numFmtId="0" fontId="1" fillId="0" borderId="0" xfId="0" applyFont="1" applyAlignment="1">
      <alignment horizontal="left" vertical="top" wrapText="1"/>
    </xf>
    <xf numFmtId="0" fontId="1" fillId="0" borderId="16" xfId="0" applyFont="1" applyBorder="1" applyAlignment="1">
      <alignment horizontal="left" wrapText="1"/>
    </xf>
    <xf numFmtId="0" fontId="1" fillId="26" borderId="0" xfId="0" applyFont="1" applyFill="1"/>
    <xf numFmtId="0" fontId="1" fillId="0" borderId="0" xfId="0" quotePrefix="1" applyFont="1" applyAlignment="1">
      <alignment horizontal="left" wrapText="1"/>
    </xf>
    <xf numFmtId="0" fontId="1" fillId="0" borderId="7" xfId="0" applyFont="1" applyBorder="1" applyAlignment="1">
      <alignment wrapText="1"/>
    </xf>
    <xf numFmtId="0" fontId="1" fillId="0" borderId="0" xfId="0" applyFont="1"/>
    <xf numFmtId="0" fontId="1" fillId="0" borderId="0" xfId="0" applyFont="1" applyAlignment="1">
      <alignment wrapText="1" shrinkToFit="1"/>
    </xf>
    <xf numFmtId="0" fontId="1" fillId="19" borderId="7" xfId="0" applyFont="1" applyFill="1" applyBorder="1" applyAlignment="1">
      <alignment wrapText="1"/>
    </xf>
    <xf numFmtId="0" fontId="1" fillId="20" borderId="0" xfId="0" applyFont="1" applyFill="1" applyAlignment="1">
      <alignment wrapText="1"/>
    </xf>
    <xf numFmtId="0" fontId="1" fillId="0" borderId="0" xfId="0" applyFont="1" applyAlignment="1">
      <alignment vertical="top" wrapText="1"/>
    </xf>
    <xf numFmtId="0" fontId="1" fillId="20" borderId="0" xfId="0" applyFont="1" applyFill="1" applyAlignment="1">
      <alignment horizontal="left" vertical="top" wrapText="1"/>
    </xf>
    <xf numFmtId="0" fontId="1" fillId="61" borderId="0" xfId="0" applyFont="1" applyFill="1" applyAlignment="1">
      <alignment wrapText="1"/>
    </xf>
    <xf numFmtId="0" fontId="1" fillId="61" borderId="0" xfId="0" applyFont="1" applyFill="1" applyAlignment="1">
      <alignment horizontal="left" wrapText="1"/>
    </xf>
    <xf numFmtId="0" fontId="1" fillId="61" borderId="0" xfId="0" applyFont="1" applyFill="1" applyAlignment="1">
      <alignment horizontal="left"/>
    </xf>
    <xf numFmtId="0" fontId="1" fillId="26" borderId="16" xfId="0" applyFont="1" applyFill="1" applyBorder="1" applyAlignment="1">
      <alignment horizontal="center" wrapText="1"/>
    </xf>
    <xf numFmtId="0" fontId="1" fillId="60" borderId="0" xfId="0" applyFont="1" applyFill="1" applyAlignment="1">
      <alignment wrapText="1"/>
    </xf>
    <xf numFmtId="0" fontId="1" fillId="60" borderId="0" xfId="0" applyFont="1" applyFill="1" applyAlignment="1">
      <alignment horizontal="left" wrapText="1"/>
    </xf>
    <xf numFmtId="0" fontId="1" fillId="60" borderId="0" xfId="0" applyFont="1" applyFill="1" applyAlignment="1">
      <alignment horizontal="left"/>
    </xf>
    <xf numFmtId="14" fontId="1" fillId="0" borderId="0" xfId="0" applyNumberFormat="1" applyFont="1" applyAlignment="1">
      <alignment horizontal="left"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1269">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bottom style="thin">
          <color rgb="FF8EA9DB"/>
        </bottom>
      </border>
    </dxf>
    <dxf>
      <border outline="0">
        <left style="thin">
          <color rgb="FF8EA9DB"/>
        </left>
        <right style="thin">
          <color rgb="FF8EA9DB"/>
        </right>
        <top style="thin">
          <color rgb="FF8EA9DB"/>
        </top>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border outline="0">
        <bottom style="thin">
          <color rgb="FF8EA9DB"/>
        </bottom>
      </border>
    </dxf>
    <dxf>
      <border outline="0">
        <left style="thin">
          <color rgb="FF8EA9DB"/>
        </left>
        <right style="thin">
          <color rgb="FF8EA9DB"/>
        </right>
        <top style="thin">
          <color rgb="FF8EA9DB"/>
        </top>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D9E1F2"/>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border>
        <top style="double">
          <color theme="4"/>
        </top>
      </border>
    </dxf>
    <dxf>
      <border outline="0">
        <bottom style="thin">
          <color rgb="FF8EA9DB"/>
        </bottom>
      </border>
    </dxf>
    <dxf>
      <border outline="0">
        <left style="thin">
          <color rgb="FF8EA9DB"/>
        </left>
        <right style="thin">
          <color rgb="FF8EA9DB"/>
        </right>
        <top style="thin">
          <color rgb="FF8EA9DB"/>
        </top>
        <bottom style="thin">
          <color rgb="FF8EA9DB"/>
        </bottom>
      </border>
    </dxf>
    <dxf>
      <fill>
        <patternFill patternType="solid">
          <fgColor indexed="64"/>
          <bgColor theme="0"/>
        </patternFill>
      </fill>
      <border>
        <left style="thin">
          <color theme="2" tint="-9.9978637043366805E-2"/>
        </left>
        <right style="thin">
          <color theme="2" tint="-9.9978637043366805E-2"/>
        </right>
        <top/>
        <bottom/>
        <vertical style="thin">
          <color theme="2" tint="-9.9978637043366805E-2"/>
        </vertical>
        <horizontal style="thin">
          <color theme="2" tint="-9.9978637043366805E-2"/>
        </horizontal>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color rgb="FF000000"/>
      </font>
      <fill>
        <patternFill patternType="solid">
          <fgColor indexed="64"/>
          <bgColor theme="0"/>
        </patternFill>
      </fill>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color rgb="FF000000"/>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strike val="0"/>
        <outline val="0"/>
        <shadow val="0"/>
        <vertAlign val="baseline"/>
        <sz val="11"/>
        <color theme="1"/>
        <name val="Calibri"/>
        <family val="2"/>
        <scheme val="minor"/>
      </font>
      <fill>
        <patternFill patternType="solid">
          <fgColor indexed="64"/>
          <bgColor theme="2" tint="-0.249977111117893"/>
        </patternFill>
      </fill>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7" tint="0.79998168889431442"/>
        </patternFill>
      </fill>
    </dxf>
    <dxf>
      <fill>
        <patternFill>
          <bgColor theme="6"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rgb="FFF58383"/>
        </patternFill>
      </fill>
    </dxf>
    <dxf>
      <fill>
        <patternFill>
          <bgColor theme="5" tint="0.79998168889431442"/>
        </patternFill>
      </fill>
    </dxf>
    <dxf>
      <fill>
        <patternFill>
          <bgColor rgb="FFFFE1FF"/>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5"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7" tint="0.79998168889431442"/>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rgb="FFF58383"/>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7" tint="0.79998168889431442"/>
        </patternFill>
      </fill>
    </dxf>
    <dxf>
      <fill>
        <patternFill>
          <bgColor rgb="FFF58383"/>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6"/>
        </patternFill>
      </fill>
    </dxf>
    <dxf>
      <fill>
        <patternFill>
          <bgColor rgb="FFFFE1FF"/>
        </patternFill>
      </fill>
    </dxf>
    <dxf>
      <fill>
        <patternFill>
          <bgColor theme="9" tint="0.79998168889431442"/>
        </patternFill>
      </fill>
    </dxf>
    <dxf>
      <fill>
        <patternFill>
          <bgColor theme="7"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rgb="FFF58383"/>
        </patternFill>
      </fill>
    </dxf>
    <dxf>
      <fill>
        <patternFill>
          <bgColor theme="6"/>
        </patternFill>
      </fill>
    </dxf>
    <dxf>
      <fill>
        <patternFill>
          <bgColor theme="6"/>
        </patternFill>
      </fill>
    </dxf>
    <dxf>
      <fill>
        <patternFill>
          <bgColor rgb="FFFFE1FF"/>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5" tint="0.79998168889431442"/>
        </patternFill>
      </fill>
    </dxf>
    <dxf>
      <fill>
        <patternFill>
          <bgColor theme="7" tint="0.79998168889431442"/>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7" tint="0.79998168889431442"/>
        </patternFill>
      </fill>
    </dxf>
    <dxf>
      <fill>
        <patternFill>
          <bgColor theme="9" tint="0.79998168889431442"/>
        </patternFill>
      </fill>
    </dxf>
    <dxf>
      <fill>
        <patternFill>
          <bgColor theme="6"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rgb="FFFFE1FF"/>
        </patternFill>
      </fill>
    </dxf>
    <dxf>
      <fill>
        <patternFill>
          <bgColor theme="9" tint="0.79998168889431442"/>
        </patternFill>
      </fill>
    </dxf>
    <dxf>
      <fill>
        <patternFill>
          <bgColor rgb="FFF58383"/>
        </patternFill>
      </fill>
    </dxf>
    <dxf>
      <fill>
        <patternFill>
          <bgColor theme="7"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rgb="FFF58383"/>
        </patternFill>
      </fill>
    </dxf>
    <dxf>
      <fill>
        <patternFill>
          <bgColor rgb="FFFFE1FF"/>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rgb="FFF58383"/>
        </patternFill>
      </fill>
    </dxf>
    <dxf>
      <fill>
        <patternFill>
          <bgColor theme="9"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rgb="FFF58383"/>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7" tint="0.79998168889431442"/>
        </patternFill>
      </fill>
    </dxf>
    <dxf>
      <fill>
        <patternFill>
          <bgColor rgb="FFF58383"/>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6"/>
        </patternFill>
      </fill>
    </dxf>
    <dxf>
      <fill>
        <patternFill>
          <bgColor rgb="FFFFE1FF"/>
        </patternFill>
      </fill>
    </dxf>
    <dxf>
      <fill>
        <patternFill>
          <bgColor theme="9" tint="0.79998168889431442"/>
        </patternFill>
      </fill>
    </dxf>
    <dxf>
      <fill>
        <patternFill>
          <bgColor theme="7"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rgb="FFF58383"/>
        </patternFill>
      </fill>
    </dxf>
    <dxf>
      <fill>
        <patternFill>
          <bgColor theme="6"/>
        </patternFill>
      </fill>
    </dxf>
    <dxf>
      <fill>
        <patternFill>
          <bgColor theme="6"/>
        </patternFill>
      </fill>
    </dxf>
    <dxf>
      <fill>
        <patternFill>
          <bgColor theme="9" tint="0.79998168889431442"/>
        </patternFill>
      </fill>
    </dxf>
    <dxf>
      <fill>
        <patternFill>
          <bgColor rgb="FFFFE1FF"/>
        </patternFill>
      </fill>
    </dxf>
    <dxf>
      <fill>
        <patternFill>
          <bgColor rgb="FFF58383"/>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5" tint="0.79998168889431442"/>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69008E"/>
      <color rgb="FFFFCCFF"/>
      <color rgb="FFFFE1FF"/>
      <color rgb="FF99CCFF"/>
      <color rgb="FF66CCFF"/>
      <color rgb="FFFF5050"/>
      <color rgb="FFC44444"/>
      <color rgb="FFAE470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4</xdr:col>
      <xdr:colOff>1113284</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Daphné LECCIA (EXT)" id="{DF480BA0-C840-4713-8568-FE1A645D605C}" userId="Daphne.LECCIA.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D6952652-30E5-479A-9FFE-AD0BC8CBB562}" userId="S::Daphne.LECCIA.EXT@esante.gouv.fr::9cca622e-4bc3-4039-b46f-9ab4e737295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Elodie FALCIONI (EXT)" id="{DF4F572D-2211-4D3A-83E1-5495966E637E}" userId="S::elodie.falcioni.ext@esante.gouv.fr::1a8d12db-9a3f-4a23-a384-980c9c9af1c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1248" dataDxfId="1247">
  <autoFilter ref="A8:AD20" xr:uid="{EF99425A-BF7C-494D-843B-A436A28F1D50}"/>
  <tableColumns count="30">
    <tableColumn id="26" xr3:uid="{F6E0102F-6A62-4676-8743-12C78DFD5AAE}" name="ID" totalsRowFunction="count" dataDxfId="1245" totalsRowDxfId="1246"/>
    <tableColumn id="34" xr3:uid="{C5C184C6-181D-45CF-A63D-7AEDCADFA43B}" name="Donnée (Niveau 1)" dataDxfId="1243" totalsRowDxfId="1244"/>
    <tableColumn id="1" xr3:uid="{48BA0677-2A51-4516-901D-245A32C9EF11}" name="Donnée (Niveau 2)" totalsRowFunction="count" dataDxfId="1241" totalsRowDxfId="1242"/>
    <tableColumn id="2" xr3:uid="{22B866D0-1B5E-4581-93E5-86229BC69C02}" name="Donnée (Niveau 3)" totalsRowFunction="count" dataDxfId="1239" totalsRowDxfId="1240"/>
    <tableColumn id="3" xr3:uid="{888BC815-3A76-4EEA-B68B-9A9CFFA21AC6}" name="Donnée (Niveau 4)" totalsRowFunction="count" dataDxfId="1237" totalsRowDxfId="1238"/>
    <tableColumn id="4" xr3:uid="{A1D31B95-E51B-44D1-A7C2-8E42F9D33E13}" name="Donnée (Niveau 5)" totalsRowFunction="count" dataDxfId="1235" totalsRowDxfId="1236"/>
    <tableColumn id="5" xr3:uid="{EA6D57DD-52EF-4D70-B539-0505DC6517EC}" name="Donnée (Niveau 6)" totalsRowFunction="count" dataDxfId="1233" totalsRowDxfId="1234"/>
    <tableColumn id="6" xr3:uid="{3FE552E2-2FEF-4E1A-B5DE-F4C21C13A296}" name="Description" totalsRowFunction="count" dataDxfId="1231" totalsRowDxfId="1232"/>
    <tableColumn id="14" xr3:uid="{BE5AEDCA-1CC5-4938-964E-9C68E6A07DC7}" name="Exemples" totalsRowFunction="count" dataDxfId="1229" totalsRowDxfId="1230"/>
    <tableColumn id="13" xr3:uid="{ED5FE47C-9997-4511-9856-83AF83A90171}" name="Fichier XSD" totalsRowFunction="count" dataDxfId="1227" totalsRowDxfId="1228"/>
    <tableColumn id="32" xr3:uid="{5C8C2495-D269-4E47-88B5-00584EF6B484}" name="Balise EMSI" dataDxfId="1225" totalsRowDxfId="1226"/>
    <tableColumn id="7" xr3:uid="{5C4F4C1E-17D3-4C4E-9650-A41F0BBB82B0}" name="Balise NexSIS" totalsRowFunction="count" dataDxfId="1223" totalsRowDxfId="1224"/>
    <tableColumn id="21" xr3:uid="{D8470834-C8F8-4F70-9302-7A4C602B72E6}" name="Nouvelle balise" totalsRowFunction="count" dataDxfId="1221" totalsRowDxfId="1222"/>
    <tableColumn id="8" xr3:uid="{D4E41060-B282-4AE5-8C87-3716CFB70625}" name="Nantes - balise" totalsRowFunction="count" dataDxfId="1219" totalsRowDxfId="1220"/>
    <tableColumn id="15" xr3:uid="{BB0E9A10-45CE-44DE-802C-D3A58D081A2F}" name="Nantes - description" totalsRowFunction="count" dataDxfId="1217" totalsRowDxfId="1218"/>
    <tableColumn id="18" xr3:uid="{8FE17C2A-E229-4B7F-B204-F356EEB4AE45}" name="GT399" totalsRowFunction="count" dataDxfId="1215" totalsRowDxfId="1216"/>
    <tableColumn id="9" xr3:uid="{4C9E2B92-3A78-454F-B9FF-8B97A2EAE3ED}" name="GT399 description" totalsRowFunction="count" dataDxfId="1213" totalsRowDxfId="1214"/>
    <tableColumn id="10" xr3:uid="{CCF33634-CF25-46BD-8DE3-12B24D24D5F8}" name="Priorisation" totalsRowFunction="count" dataDxfId="1211" totalsRowDxfId="1212"/>
    <tableColumn id="11" xr3:uid="{85B3828E-8687-4AA3-88CE-D610FCBDCFDE}" name="Cardinalité" dataDxfId="1209" totalsRowDxfId="1210"/>
    <tableColumn id="27" xr3:uid="{CF8F2F83-80E1-4F34-8CA4-101022C31379}" name="Objet" totalsRowFunction="count" dataDxfId="1207" totalsRowDxfId="1208"/>
    <tableColumn id="12" xr3:uid="{9491E93A-73C3-4214-8227-2A99EABCA3C1}" name="Format (ou type)" totalsRowFunction="count" dataDxfId="1205" totalsRowDxfId="1206"/>
    <tableColumn id="31" xr3:uid="{97801A1D-505C-4F61-ACF5-6EE844F5E23A}" name="Détails de format" dataDxfId="1203" totalsRowDxfId="1204"/>
    <tableColumn id="36" xr3:uid="{62248724-3AC6-48C6-B62F-D3C050A5A08F}" name="15-18" dataDxfId="1201" totalsRowDxfId="1202"/>
    <tableColumn id="35" xr3:uid="{2A6F94A4-B86B-4A8C-8862-6337DBF190B2}" name="15-15" dataDxfId="1199" totalsRowDxfId="1200"/>
    <tableColumn id="37" xr3:uid="{01782744-2942-D140-994A-3D343B0E0342}" name="CUT" dataDxfId="1197" totalsRowDxfId="1198"/>
    <tableColumn id="19" xr3:uid="{B112D546-E236-4723-880E-6D39731D2093}" name="Commentaire Hub Santé" totalsRowFunction="count" dataDxfId="1195" totalsRowDxfId="1196"/>
    <tableColumn id="16" xr3:uid="{E6CB6828-8B65-4F12-95B0-B9304BA135D8}" name="Commentaire Philippe Dreyfus" totalsRowFunction="count" dataDxfId="1193" totalsRowDxfId="1194"/>
    <tableColumn id="33" xr3:uid="{9AEA7D2D-C467-4E16-9414-C9877028EA11}" name="Commentaire FBE" dataDxfId="1191" totalsRowDxfId="1192"/>
    <tableColumn id="17" xr3:uid="{ACE48C56-220E-4341-8BEC-04B45FF1F728}" name="Commentaire Yann Penverne" totalsRowFunction="count" dataDxfId="1189" totalsRowDxfId="1190"/>
    <tableColumn id="20" xr3:uid="{A0AF1313-269D-4060-8F91-417D2F081DEB}" name="NexSIS" totalsRowFunction="custom" dataDxfId="1187" totalsRowDxfId="1188">
      <totalsRowFormula>SUBTOTAL(103,createCase8[NexSIS])-COUNTIFS(createCase8[NexSIS],"=X")</totalsRowFormula>
    </tableColumn>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253F3A-254C-4618-A5FE-BEE9E9C3C612}" name="Tableau35" displayName="Tableau35" ref="A8:W10" totalsRowCount="1" totalsRowDxfId="132">
  <autoFilter ref="A8:W9" xr:uid="{75253F3A-254C-4618-A5FE-BEE9E9C3C612}"/>
  <tableColumns count="23">
    <tableColumn id="1" xr3:uid="{B9312955-B2A3-439B-98E2-35497FC3B9CD}" name="ID" totalsRowFunction="count" dataDxfId="130" totalsRowDxfId="131"/>
    <tableColumn id="2" xr3:uid="{A41A30AA-1973-446D-97F1-BB8048C22A4F}" name="Donnée (Niveau 1)" totalsRowFunction="custom" dataDxfId="128" totalsRowDxfId="129">
      <totalsRowFormula>SUBTOTAL(103,Tableau35[Donnée (Niveau 1)])</totalsRowFormula>
    </tableColumn>
    <tableColumn id="3" xr3:uid="{DFE7CE8D-9D20-4AEF-A0BD-66C619A3B39A}" name="Donnée (Niveau 2)" totalsRowFunction="custom" dataDxfId="126" totalsRowDxfId="127">
      <totalsRowFormula>SUBTOTAL(103,Tableau35[Donnée (Niveau 2)])</totalsRowFormula>
    </tableColumn>
    <tableColumn id="4" xr3:uid="{D4BCA6FB-BEEB-4675-B373-97CA3247D3B3}" name="Donnée (Niveau 3)" totalsRowFunction="custom" dataDxfId="124" totalsRowDxfId="125">
      <totalsRowFormula>SUBTOTAL(103,Tableau35[Donnée (Niveau 3)])</totalsRowFormula>
    </tableColumn>
    <tableColumn id="5" xr3:uid="{98330C77-3D56-4BE0-94A2-82DDC5827C96}" name="Donnée (Niveau 4)" totalsRowFunction="custom" dataDxfId="122" totalsRowDxfId="123">
      <totalsRowFormula>SUBTOTAL(103,Tableau35[Donnée (Niveau 4)])</totalsRowFormula>
    </tableColumn>
    <tableColumn id="6" xr3:uid="{3D011196-6587-48FF-87E2-AE1D56773EE7}" name="Donnée (Niveau 5)" totalsRowFunction="custom" dataDxfId="120" totalsRowDxfId="121">
      <totalsRowFormula>SUBTOTAL(103,Tableau35[Donnée (Niveau 5)])</totalsRowFormula>
    </tableColumn>
    <tableColumn id="7" xr3:uid="{9EBCC79E-BB78-43E2-8390-99AED4817490}" name="Donnée (Niveau 6)" totalsRowFunction="custom" dataDxfId="118" totalsRowDxfId="119">
      <totalsRowFormula>SUBTOTAL(103,Tableau35[Donnée (Niveau 6)])</totalsRowFormula>
    </tableColumn>
    <tableColumn id="8" xr3:uid="{E26B9737-D2F7-4253-9691-0FAB27540899}" name="Description" totalsRowFunction="custom" totalsRowDxfId="117">
      <totalsRowFormula>SUBTOTAL(103,Tableau35[Description])</totalsRowFormula>
    </tableColumn>
    <tableColumn id="9" xr3:uid="{CD269DAD-CD7B-426A-8623-52708A75A9F3}" name="Exemples" totalsRowFunction="custom" totalsRowDxfId="116">
      <totalsRowFormula>SUBTOTAL(103,Tableau35[Exemples])</totalsRowFormula>
    </tableColumn>
    <tableColumn id="10" xr3:uid="{20924355-7D5C-49E1-BBA9-453A972E5FD5}" name="Balise NexSIS" totalsRowFunction="custom" totalsRowDxfId="115">
      <totalsRowFormula>SUBTOTAL(103,Tableau35[Balise NexSIS])</totalsRowFormula>
    </tableColumn>
    <tableColumn id="11" xr3:uid="{E6886C03-3B0D-46D0-99EE-5173E67D42D5}" name="Nouvelle balise" totalsRowFunction="custom" totalsRowDxfId="114">
      <totalsRowFormula>SUBTOTAL(103,Tableau35[Nouvelle balise])</totalsRowFormula>
    </tableColumn>
    <tableColumn id="12" xr3:uid="{FC0A1304-6D18-4479-8A8D-40E1640CC417}" name="Nantes - balise" totalsRowFunction="custom" totalsRowDxfId="113">
      <totalsRowFormula>SUBTOTAL(103,Tableau35[Nantes - balise])</totalsRowFormula>
    </tableColumn>
    <tableColumn id="13" xr3:uid="{F13FED84-5993-4B0F-9596-BB54F03D8CD2}" name="Nantes - description" totalsRowFunction="custom" totalsRowDxfId="112">
      <totalsRowFormula>SUBTOTAL(103,Tableau35[Nantes - description])</totalsRowFormula>
    </tableColumn>
    <tableColumn id="14" xr3:uid="{D10C28EC-5A2B-4C5A-9DF5-FA610DC16AB7}" name="GT399" totalsRowFunction="custom" totalsRowDxfId="111">
      <totalsRowFormula>SUBTOTAL(103,Tableau35[GT399])</totalsRowFormula>
    </tableColumn>
    <tableColumn id="15" xr3:uid="{BEB12139-7DD8-42F5-B1E1-2ECBC4C5542E}" name="GT399 description" totalsRowFunction="custom" totalsRowDxfId="110">
      <totalsRowFormula>SUBTOTAL(103,Tableau35[GT399 description])</totalsRowFormula>
    </tableColumn>
    <tableColumn id="16" xr3:uid="{188B779B-92B8-4FEF-8EED-51C2A38708D0}" name="Priorisation" totalsRowFunction="custom" totalsRowDxfId="109">
      <totalsRowFormula>SUBTOTAL(103,Tableau35[Priorisation])</totalsRowFormula>
    </tableColumn>
    <tableColumn id="17" xr3:uid="{F4CC96EB-6D1D-4960-BCD8-CD461F381ED8}" name="Cardinalité" totalsRowFunction="custom" dataDxfId="107" totalsRowDxfId="108">
      <totalsRowFormula>SUBTOTAL(103,Tableau35[Cardinalité])</totalsRowFormula>
    </tableColumn>
    <tableColumn id="18" xr3:uid="{B0090839-6783-4E0E-8106-4E6A56CCAFD2}" name="Objet" totalsRowFunction="custom" dataDxfId="105" totalsRowDxfId="106">
      <totalsRowFormula>SUBTOTAL(103,Tableau35[Objet])</totalsRowFormula>
    </tableColumn>
    <tableColumn id="19" xr3:uid="{A81D9ACE-1BA2-42E2-A7BF-AD6A21D051B7}" name="Format (ou type)" totalsRowFunction="custom" dataDxfId="103" totalsRowDxfId="104">
      <totalsRowFormula>SUBTOTAL(103,Tableau35[Format (ou type)])</totalsRowFormula>
    </tableColumn>
    <tableColumn id="20" xr3:uid="{395551A0-AF3E-4BCA-A2D1-B5B3AFE7BB0F}" name="Nomenclature/ énumération" totalsRowFunction="custom" totalsRowDxfId="102">
      <totalsRowFormula>SUBTOTAL(103,Tableau35[Nomenclature/ énumération])</totalsRowFormula>
    </tableColumn>
    <tableColumn id="21" xr3:uid="{CA6C9852-2D54-43AF-A983-D0F4CF56B2B4}" name="Détails de format" totalsRowFunction="custom" totalsRowDxfId="101">
      <totalsRowFormula>SUBTOTAL(103,Tableau35[Détails de format])</totalsRowFormula>
    </tableColumn>
    <tableColumn id="22" xr3:uid="{15560D52-4B8E-408C-878A-EEE9AFD8D183}" name="15-18" totalsRowFunction="custom" totalsRowDxfId="100">
      <totalsRowFormula>SUBTOTAL(103,Tableau35[15-18])</totalsRowFormula>
    </tableColumn>
    <tableColumn id="23" xr3:uid="{F8085B3C-2A10-48F6-B2F1-428BF4D2A4F6}" name="15-15" totalsRowFunction="custom" totalsRowDxfId="99">
      <totalsRowFormula>SUBTOTAL(103,Tableau35[15-15])</totalsRowFormula>
    </tableColumn>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FE8A3AF-4E94-4B60-8D0F-BDD2D3ECE80A}" name="Tableau357" displayName="Tableau357" ref="A8:W20" totalsRowCount="1" totalsRowDxfId="98">
  <autoFilter ref="A8:W19" xr:uid="{1FE8A3AF-4E94-4B60-8D0F-BDD2D3ECE80A}"/>
  <tableColumns count="23">
    <tableColumn id="1" xr3:uid="{2194A6A9-978B-49BF-92EC-24BA1F982865}" name="ID" totalsRowFunction="count" dataDxfId="96" totalsRowDxfId="97"/>
    <tableColumn id="2" xr3:uid="{7639722A-2F33-4FF5-974B-AF23A0A6AFB1}" name="Donnée (Niveau 1)" totalsRowFunction="custom" dataDxfId="94" totalsRowDxfId="95">
      <totalsRowFormula>SUBTOTAL(103,Tableau357[Donnée (Niveau 1)])</totalsRowFormula>
    </tableColumn>
    <tableColumn id="3" xr3:uid="{9BD64E43-D2AF-489F-A571-5D02F069CB5A}" name="Donnée (Niveau 2)" totalsRowFunction="custom" dataDxfId="92" totalsRowDxfId="93">
      <totalsRowFormula>SUBTOTAL(103,Tableau357[Donnée (Niveau 2)])</totalsRowFormula>
    </tableColumn>
    <tableColumn id="4" xr3:uid="{3A15C35A-E24A-431E-9B0F-5AA03F1DEC65}" name="Donnée (Niveau 3)" totalsRowFunction="custom" dataDxfId="90" totalsRowDxfId="91">
      <totalsRowFormula>SUBTOTAL(103,Tableau357[Donnée (Niveau 3)])</totalsRowFormula>
    </tableColumn>
    <tableColumn id="5" xr3:uid="{30450838-7269-4B21-AED9-DE744E6D7BE7}" name="Donnée (Niveau 4)" totalsRowFunction="custom" dataDxfId="88" totalsRowDxfId="89">
      <totalsRowFormula>SUBTOTAL(103,Tableau357[Donnée (Niveau 4)])</totalsRowFormula>
    </tableColumn>
    <tableColumn id="6" xr3:uid="{3660E566-E514-413D-B57E-5899D7E2C97A}" name="Donnée (Niveau 5)" totalsRowFunction="custom" dataDxfId="86" totalsRowDxfId="87">
      <totalsRowFormula>SUBTOTAL(103,Tableau357[Donnée (Niveau 5)])</totalsRowFormula>
    </tableColumn>
    <tableColumn id="7" xr3:uid="{9C7BB915-267A-4C5A-AA02-029048F4DC4E}" name="Donnée (Niveau 6)" totalsRowFunction="custom" dataDxfId="84" totalsRowDxfId="85">
      <totalsRowFormula>SUBTOTAL(103,Tableau357[Donnée (Niveau 6)])</totalsRowFormula>
    </tableColumn>
    <tableColumn id="8" xr3:uid="{E5B15786-B76A-4BEA-9067-9613FD29334F}" name="Description" totalsRowFunction="custom" totalsRowDxfId="83">
      <totalsRowFormula>SUBTOTAL(103,Tableau357[Description])</totalsRowFormula>
    </tableColumn>
    <tableColumn id="9" xr3:uid="{8DB05C06-6CE9-4263-BA6F-48CE0AE9983C}" name="Exemples" totalsRowFunction="custom" totalsRowDxfId="82">
      <totalsRowFormula>SUBTOTAL(103,Tableau357[Exemples])</totalsRowFormula>
    </tableColumn>
    <tableColumn id="10" xr3:uid="{1837705E-85D2-43D6-9CDA-E6F77570DBBD}" name="Balise NexSIS" totalsRowFunction="custom" totalsRowDxfId="81">
      <totalsRowFormula>SUBTOTAL(103,Tableau357[Balise NexSIS])</totalsRowFormula>
    </tableColumn>
    <tableColumn id="11" xr3:uid="{957F756D-730B-4641-8748-30510E6525C0}" name="Nouvelle balise" totalsRowFunction="custom" dataDxfId="79" totalsRowDxfId="80">
      <totalsRowFormula>SUBTOTAL(103,Tableau357[Nouvelle balise])</totalsRowFormula>
    </tableColumn>
    <tableColumn id="12" xr3:uid="{3169EF9C-BB85-4FFA-B5E7-A3B8B73FC3A2}" name="Nantes - balise" totalsRowFunction="custom" totalsRowDxfId="78">
      <totalsRowFormula>SUBTOTAL(103,Tableau357[Nantes - balise])</totalsRowFormula>
    </tableColumn>
    <tableColumn id="13" xr3:uid="{E548F095-B313-42ED-B82E-D4F99D2C0A04}" name="Nantes - description" totalsRowFunction="custom" totalsRowDxfId="77">
      <totalsRowFormula>SUBTOTAL(103,Tableau357[Nantes - description])</totalsRowFormula>
    </tableColumn>
    <tableColumn id="14" xr3:uid="{CC704391-8DDA-45F3-B8AB-AE5DEBD43C11}" name="GT399" totalsRowFunction="custom" totalsRowDxfId="76">
      <totalsRowFormula>SUBTOTAL(103,Tableau357[GT399])</totalsRowFormula>
    </tableColumn>
    <tableColumn id="15" xr3:uid="{A5BB6FA3-0492-4977-AD3E-CEAAE8366B7A}" name="GT399 description" totalsRowFunction="custom" totalsRowDxfId="75">
      <totalsRowFormula>SUBTOTAL(103,Tableau357[GT399 description])</totalsRowFormula>
    </tableColumn>
    <tableColumn id="16" xr3:uid="{6BC9EA61-5862-4D25-B98C-EA9E88DF081C}" name="Priorisation" totalsRowFunction="custom" totalsRowDxfId="74">
      <totalsRowFormula>SUBTOTAL(103,Tableau357[Priorisation])</totalsRowFormula>
    </tableColumn>
    <tableColumn id="17" xr3:uid="{F8CC7813-2529-4AB6-8673-B22D55F47970}" name="Cardinalité" totalsRowFunction="custom" dataDxfId="72" totalsRowDxfId="73">
      <totalsRowFormula>SUBTOTAL(103,Tableau357[Cardinalité])</totalsRowFormula>
    </tableColumn>
    <tableColumn id="18" xr3:uid="{F8AA89E9-3720-467E-92C2-F847AE5D62EB}" name="Objet" totalsRowFunction="custom" dataDxfId="70" totalsRowDxfId="71">
      <totalsRowFormula>SUBTOTAL(103,Tableau357[Objet])</totalsRowFormula>
    </tableColumn>
    <tableColumn id="19" xr3:uid="{044C8000-1042-455B-8904-0733131290E6}" name="Format (ou type)" totalsRowFunction="custom" dataDxfId="68" totalsRowDxfId="69">
      <totalsRowFormula>SUBTOTAL(103,Tableau357[Format (ou type)])</totalsRowFormula>
    </tableColumn>
    <tableColumn id="20" xr3:uid="{4C43F220-1FFF-4D6A-B274-6AC8F1923DC0}" name="Nomenclature/ énumération" totalsRowFunction="custom" dataDxfId="66" totalsRowDxfId="67">
      <totalsRowFormula>SUBTOTAL(103,Tableau357[Nomenclature/ énumération])</totalsRowFormula>
    </tableColumn>
    <tableColumn id="21" xr3:uid="{F3647E69-0E89-450A-AF38-B5627E006D73}" name="Détails de format" totalsRowFunction="custom" dataDxfId="64" totalsRowDxfId="65">
      <totalsRowFormula>SUBTOTAL(103,Tableau357[Détails de format])</totalsRowFormula>
    </tableColumn>
    <tableColumn id="22" xr3:uid="{BDA6CEC4-51B8-4CFB-B6B6-B7AF21F84DE9}" name="15-18" totalsRowFunction="custom" totalsRowDxfId="63">
      <totalsRowFormula>SUBTOTAL(103,Tableau357[15-18])</totalsRowFormula>
    </tableColumn>
    <tableColumn id="23" xr3:uid="{A7D9FC89-3D3C-442A-BF60-2B5E8CAB8757}" name="15-15" totalsRowFunction="custom" totalsRowDxfId="62">
      <totalsRowFormula>SUBTOTAL(103,Tableau357[15-15])</totalsRowFormula>
    </tableColumn>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931F4C5-87AC-4B70-ADC3-93962301DA67}" name="Tableau9" displayName="Tableau9" ref="A8:W15" totalsRowCount="1" headerRowDxfId="61" totalsRowDxfId="60" headerRowBorderDxfId="58" tableBorderDxfId="59" totalsRowBorderDxfId="57">
  <autoFilter ref="A8:W14" xr:uid="{E931F4C5-87AC-4B70-ADC3-93962301DA67}"/>
  <tableColumns count="23">
    <tableColumn id="1" xr3:uid="{1E224984-052D-4A13-B622-AE0F71DD159A}" name="ID" totalsRowFunction="count" dataDxfId="55" totalsRowDxfId="56"/>
    <tableColumn id="2" xr3:uid="{C0689F99-92F2-497E-8FC9-D5C9893BC7E9}" name="Donnée (Niveau 1)" totalsRowFunction="custom" dataDxfId="53" totalsRowDxfId="54">
      <totalsRowFormula>SUBTOTAL(103,Tableau9[Donnée (Niveau 1)])</totalsRowFormula>
    </tableColumn>
    <tableColumn id="3" xr3:uid="{415D4766-C4FA-4EA5-814E-1F0F00B07B37}" name="Donnée (Niveau 2)" totalsRowFunction="custom" dataDxfId="51" totalsRowDxfId="52">
      <totalsRowFormula>SUBTOTAL(103,Tableau9[Donnée (Niveau 2)])</totalsRowFormula>
    </tableColumn>
    <tableColumn id="4" xr3:uid="{3376F3F3-12CC-4AD9-9955-3EC68C5C3DD9}" name="Donnée (Niveau 3)" totalsRowFunction="custom" dataDxfId="49" totalsRowDxfId="50">
      <totalsRowFormula>SUBTOTAL(103,Tableau9[Donnée (Niveau 3)])</totalsRowFormula>
    </tableColumn>
    <tableColumn id="5" xr3:uid="{541A98F6-3A3C-473C-86A3-80321C6E2798}" name="Donnée (Niveau 4)" totalsRowFunction="custom" dataDxfId="47" totalsRowDxfId="48">
      <totalsRowFormula>SUBTOTAL(103,Tableau9[Donnée (Niveau 4)])</totalsRowFormula>
    </tableColumn>
    <tableColumn id="6" xr3:uid="{9860160A-69B0-43CC-ACC3-513CC21BBCC9}" name="Donnée (Niveau 5)" totalsRowFunction="custom" dataDxfId="45" totalsRowDxfId="46">
      <totalsRowFormula>SUBTOTAL(103,Tableau9[Donnée (Niveau 5)])</totalsRowFormula>
    </tableColumn>
    <tableColumn id="7" xr3:uid="{A283BE6B-5F72-4E28-A1D0-C3CEFC3A3203}" name="Donnée (Niveau 6)" totalsRowFunction="custom" dataDxfId="43" totalsRowDxfId="44">
      <totalsRowFormula>SUBTOTAL(103,Tableau9[Donnée (Niveau 6)])</totalsRowFormula>
    </tableColumn>
    <tableColumn id="8" xr3:uid="{19DF1CAC-A34E-4D6F-9152-7E372105A411}" name="Description" totalsRowFunction="custom" totalsRowDxfId="42">
      <totalsRowFormula>SUBTOTAL(103,Tableau9[Description])</totalsRowFormula>
    </tableColumn>
    <tableColumn id="9" xr3:uid="{19C7F4C5-FBF2-4DDF-8C18-64844C80A068}" name="Exemples" totalsRowFunction="custom" totalsRowDxfId="41">
      <totalsRowFormula>SUBTOTAL(103,Tableau9[Exemples])</totalsRowFormula>
    </tableColumn>
    <tableColumn id="10" xr3:uid="{25BE0A12-B3F7-4026-80D6-5AED0D62F912}" name="Balise NexSIS" totalsRowFunction="custom" totalsRowDxfId="40">
      <totalsRowFormula>SUBTOTAL(103,Tableau9[Balise NexSIS])</totalsRowFormula>
    </tableColumn>
    <tableColumn id="11" xr3:uid="{7578B8D2-C435-4424-9B0B-FE7DB8E3AC98}" name="Nouvelle balise" totalsRowFunction="custom" totalsRowDxfId="39">
      <totalsRowFormula>SUBTOTAL(103,Tableau9[Nouvelle balise])</totalsRowFormula>
    </tableColumn>
    <tableColumn id="12" xr3:uid="{BED9B1DE-1D7A-44E1-B55A-77D8F2867832}" name="Nantes - balise" totalsRowFunction="custom" totalsRowDxfId="38">
      <totalsRowFormula>SUBTOTAL(103,Tableau9[Nantes - balise])</totalsRowFormula>
    </tableColumn>
    <tableColumn id="13" xr3:uid="{0A269333-965B-47E6-A39A-3828EC8525D7}" name="Nantes - description" totalsRowFunction="custom" totalsRowDxfId="37">
      <totalsRowFormula>SUBTOTAL(103,Tableau9[Nantes - description])</totalsRowFormula>
    </tableColumn>
    <tableColumn id="14" xr3:uid="{9551F7F9-F22B-4AE0-8C95-D6D0EABBF631}" name="GT399" totalsRowFunction="custom" totalsRowDxfId="36">
      <totalsRowFormula>SUBTOTAL(103,Tableau9[GT399])</totalsRowFormula>
    </tableColumn>
    <tableColumn id="15" xr3:uid="{B250F388-C8B6-4941-A85E-C23834348517}" name="GT399 description" totalsRowFunction="custom" totalsRowDxfId="35">
      <totalsRowFormula>SUBTOTAL(103,Tableau9[GT399 description])</totalsRowFormula>
    </tableColumn>
    <tableColumn id="16" xr3:uid="{A477B070-59A8-4A28-9E4D-9B4503B0FCDC}" name="Priorisation" totalsRowFunction="custom" totalsRowDxfId="34">
      <totalsRowFormula>SUBTOTAL(103,Tableau9[Priorisation])</totalsRowFormula>
    </tableColumn>
    <tableColumn id="17" xr3:uid="{8D44E1CE-FB68-4E9B-AE44-0ADF0DFE048B}" name="Cardinalité" totalsRowFunction="custom" dataDxfId="32" totalsRowDxfId="33">
      <totalsRowFormula>SUBTOTAL(103,Tableau9[Cardinalité])</totalsRowFormula>
    </tableColumn>
    <tableColumn id="18" xr3:uid="{F5551B1C-1DCC-4580-B858-E095724B74EC}" name="Objet" totalsRowFunction="custom" totalsRowDxfId="31">
      <totalsRowFormula>SUBTOTAL(103,Tableau9[Objet])</totalsRowFormula>
    </tableColumn>
    <tableColumn id="19" xr3:uid="{836B344A-EF05-48E1-9A56-678F7B1B5ECF}" name="Format (ou type)" totalsRowFunction="custom" totalsRowDxfId="30">
      <totalsRowFormula>SUBTOTAL(103,Tableau9[Format (ou type)])</totalsRowFormula>
    </tableColumn>
    <tableColumn id="20" xr3:uid="{622F58D5-8FA2-4261-957A-F5060FF0501F}" name="Nomenclature/ énumération" totalsRowFunction="custom" totalsRowDxfId="29">
      <totalsRowFormula>SUBTOTAL(103,Tableau9[Nomenclature/ énumération])</totalsRowFormula>
    </tableColumn>
    <tableColumn id="21" xr3:uid="{EE4A67A2-A8BB-40C5-B66B-2C677A555E0D}" name="Détails de format" totalsRowFunction="custom" totalsRowDxfId="28">
      <totalsRowFormula>SUBTOTAL(103,Tableau9[Détails de format])</totalsRowFormula>
    </tableColumn>
    <tableColumn id="22" xr3:uid="{74252E4D-4A09-4C3D-A70C-71232233BE99}" name="15-18" totalsRowFunction="custom" totalsRowDxfId="27">
      <totalsRowFormula>SUBTOTAL(103,Tableau9[15-18])</totalsRowFormula>
    </tableColumn>
    <tableColumn id="23" xr3:uid="{9A825B74-72E7-4083-95A6-ADAB0B83FA51}" name="15-15" totalsRowFunction="custom" totalsRowDxfId="26">
      <totalsRowFormula>SUBTOTAL(103,Tableau9[15-15])</totalsRowFormula>
    </tableColumn>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964C05C-8CBB-4AAF-8176-2D560D5A88DF}" name="Tableau911" displayName="Tableau911" ref="A8:W10" totalsRowCount="1" headerRowDxfId="25" headerRowBorderDxfId="23" tableBorderDxfId="24">
  <autoFilter ref="A8:W9" xr:uid="{E931F4C5-87AC-4B70-ADC3-93962301DA67}"/>
  <tableColumns count="23">
    <tableColumn id="1" xr3:uid="{C8DB844F-5932-4AB6-A233-1CBC2BE5831A}" name="ID" totalsRowFunction="count"/>
    <tableColumn id="2" xr3:uid="{6EC084D2-3A42-43DE-8289-0BC6C04C6091}" name="Donnée (Niveau 1)" totalsRowFunction="custom">
      <totalsRowFormula>SUBTOTAL(103,Tableau911[Donnée (Niveau 1)])</totalsRowFormula>
    </tableColumn>
    <tableColumn id="3" xr3:uid="{BF7D88F1-CF48-485E-9BFE-7E4C8BCB597E}" name="Donnée (Niveau 2)" totalsRowFunction="custom">
      <totalsRowFormula>SUBTOTAL(103,Tableau911[Donnée (Niveau 2)])</totalsRowFormula>
    </tableColumn>
    <tableColumn id="4" xr3:uid="{AE0087F1-28B8-48A3-8FC1-F1AC604DF8F9}" name="Donnée (Niveau 3)" totalsRowFunction="custom">
      <totalsRowFormula>SUBTOTAL(103,Tableau911[Donnée (Niveau 3)])</totalsRowFormula>
    </tableColumn>
    <tableColumn id="5" xr3:uid="{94CEDB26-984F-49EF-BCAF-77B51388B4C4}" name="Donnée (Niveau 4)" totalsRowFunction="custom">
      <totalsRowFormula>SUBTOTAL(103,Tableau911[Donnée (Niveau 4)])</totalsRowFormula>
    </tableColumn>
    <tableColumn id="6" xr3:uid="{26D7C193-151C-4FC9-A702-0C7AC7909C7A}" name="Donnée (Niveau 5)" totalsRowFunction="custom">
      <totalsRowFormula>SUBTOTAL(103,Tableau911[Donnée (Niveau 5)])</totalsRowFormula>
    </tableColumn>
    <tableColumn id="7" xr3:uid="{A20AEFB0-6F69-4C80-BF30-DE40674BCF86}" name="Donnée (Niveau 6)" totalsRowFunction="custom">
      <totalsRowFormula>SUBTOTAL(103,Tableau911[Donnée (Niveau 6)])</totalsRowFormula>
    </tableColumn>
    <tableColumn id="8" xr3:uid="{48316F16-83D7-49F3-8ABC-248B5EB3C0F7}" name="Description" totalsRowFunction="custom">
      <totalsRowFormula>SUBTOTAL(103,Tableau911[Description])</totalsRowFormula>
    </tableColumn>
    <tableColumn id="9" xr3:uid="{BFDD6EA6-C6CC-43E1-B847-A40C326FBBC9}" name="Exemples" totalsRowFunction="custom">
      <totalsRowFormula>SUBTOTAL(103,Tableau911[Exemples])</totalsRowFormula>
    </tableColumn>
    <tableColumn id="10" xr3:uid="{29744092-07FC-47C5-B184-9C01B23ED3AB}" name="Balise NexSIS" totalsRowFunction="custom">
      <totalsRowFormula>SUBTOTAL(103,Tableau911[Balise NexSIS])</totalsRowFormula>
    </tableColumn>
    <tableColumn id="11" xr3:uid="{1324684D-48E8-4F90-BCA9-7700F1AACE79}" name="Nouvelle balise" totalsRowFunction="custom">
      <totalsRowFormula>SUBTOTAL(103,Tableau911[Nouvelle balise])</totalsRowFormula>
    </tableColumn>
    <tableColumn id="25" xr3:uid="{D859C5B6-046E-4286-B25C-B09C6F0D01F2}" name="Nantes - balise" totalsRowFunction="custom" dataDxfId="22">
      <totalsRowFormula>SUBTOTAL(103,Tableau911[Nantes - balise])</totalsRowFormula>
    </tableColumn>
    <tableColumn id="24" xr3:uid="{B812F9CB-695C-4233-9210-247EE7E30D5C}" name="Nantes - description" totalsRowFunction="custom" dataDxfId="21">
      <totalsRowFormula>SUBTOTAL(103,Tableau911[Nantes - description])</totalsRowFormula>
    </tableColumn>
    <tableColumn id="23" xr3:uid="{369A7FC9-8210-45F8-B7CE-7CA66D94704C}" name="GT399" totalsRowFunction="custom" dataDxfId="20">
      <totalsRowFormula>SUBTOTAL(103,Tableau911[GT399])</totalsRowFormula>
    </tableColumn>
    <tableColumn id="22" xr3:uid="{CC0C4430-85CE-4749-B0EF-01F38758D213}" name="GT399 description" totalsRowFunction="custom" dataDxfId="19">
      <totalsRowFormula>SUBTOTAL(103,Tableau911[GT399 description])</totalsRowFormula>
    </tableColumn>
    <tableColumn id="21" xr3:uid="{C8812723-9205-4252-A00F-7EA4ABD87E9F}" name="Priorisation" totalsRowFunction="custom" dataDxfId="18">
      <totalsRowFormula>SUBTOTAL(103,Tableau911[Priorisation])</totalsRowFormula>
    </tableColumn>
    <tableColumn id="12" xr3:uid="{1359DFFB-E2CC-495F-A9E9-4BAC883AF7ED}" name="Cardinalité" totalsRowFunction="custom">
      <totalsRowFormula>SUBTOTAL(103,Tableau911[Cardinalité])</totalsRowFormula>
    </tableColumn>
    <tableColumn id="13" xr3:uid="{4DBBFDE2-C186-42CA-9582-B79F90A418E9}" name="Objet" totalsRowFunction="custom">
      <totalsRowFormula>SUBTOTAL(103,Tableau911[Objet])</totalsRowFormula>
    </tableColumn>
    <tableColumn id="14" xr3:uid="{35FBC88A-AF3E-4A58-BA98-A1B1782D0160}" name="Format (ou type)" totalsRowFunction="custom">
      <totalsRowFormula>SUBTOTAL(103,Tableau911[Format (ou type)])</totalsRowFormula>
    </tableColumn>
    <tableColumn id="15" xr3:uid="{5BED8FD8-B066-4273-B5EE-DDE13E2807BB}" name="Nomenclature/ énumération" totalsRowFunction="custom">
      <totalsRowFormula>SUBTOTAL(103,Tableau911[Nomenclature/ énumération])</totalsRowFormula>
    </tableColumn>
    <tableColumn id="16" xr3:uid="{CA707E25-DB91-4312-AA21-5E78FCD15279}" name="Détails de format" totalsRowFunction="custom">
      <totalsRowFormula>SUBTOTAL(103,Tableau911[Détails de format])</totalsRowFormula>
    </tableColumn>
    <tableColumn id="17" xr3:uid="{212C2D20-2B79-4199-90E1-9DB829035838}" name="15-18" totalsRowFunction="custom">
      <totalsRowFormula>SUBTOTAL(103,Tableau911[15-18])</totalsRowFormula>
    </tableColumn>
    <tableColumn id="18" xr3:uid="{C962426F-4A8B-47CE-891D-64463EE3DBBE}" name="15-15" totalsRowFunction="custom">
      <totalsRowFormula>SUBTOTAL(103,Tableau911[15-15])</totalsRowFormula>
    </tableColumn>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F62EADF-21E3-48F1-8B6F-5A3984C01C34}" name="Tableau12" displayName="Tableau12" ref="A8:W12" totalsRowCount="1" headerRowDxfId="17" headerRowBorderDxfId="15" tableBorderDxfId="16">
  <autoFilter ref="A8:W11" xr:uid="{4F62EADF-21E3-48F1-8B6F-5A3984C01C34}"/>
  <tableColumns count="23">
    <tableColumn id="1" xr3:uid="{B6643D7A-4C2D-4D5B-82CD-9FB6A5509A72}" name="ID" totalsRowFunction="count"/>
    <tableColumn id="2" xr3:uid="{D8AD65B6-1FCA-4B50-9A1E-843B91A13A63}" name="Donnée (Niveau 1)" totalsRowFunction="custom" dataDxfId="14">
      <totalsRowFormula>SUBTOTAL(103,Tableau12[Donnée (Niveau 1)])</totalsRowFormula>
    </tableColumn>
    <tableColumn id="3" xr3:uid="{C51845AD-B914-429D-B634-E93F9EB2C6E2}" name="Donnée (Niveau 2)" totalsRowFunction="custom" dataDxfId="13">
      <totalsRowFormula>SUBTOTAL(103,Tableau12[Donnée (Niveau 2)])</totalsRowFormula>
    </tableColumn>
    <tableColumn id="4" xr3:uid="{708D3FF7-D497-49D4-A121-91CEB536EDC0}" name="Donnée (Niveau 3)" totalsRowFunction="custom" dataDxfId="12">
      <totalsRowFormula>SUBTOTAL(103,Tableau12[Donnée (Niveau 3)])</totalsRowFormula>
    </tableColumn>
    <tableColumn id="5" xr3:uid="{36BBF4F3-B871-4924-B1DF-09F52BEC9A84}" name="Donnée (Niveau 4)" totalsRowFunction="custom" dataDxfId="11">
      <totalsRowFormula>SUBTOTAL(103,Tableau12[Donnée (Niveau 4)])</totalsRowFormula>
    </tableColumn>
    <tableColumn id="6" xr3:uid="{912708D6-C037-4264-88D3-7DEB49F9D269}" name="Donnée (Niveau 5)" totalsRowFunction="custom" dataDxfId="10">
      <totalsRowFormula>SUBTOTAL(103,Tableau12[Donnée (Niveau 5)])</totalsRowFormula>
    </tableColumn>
    <tableColumn id="7" xr3:uid="{AEB42A44-4C97-42F7-968F-F3445075B977}" name="Donnée (Niveau 6)" totalsRowFunction="custom" dataDxfId="9">
      <totalsRowFormula>SUBTOTAL(103,Tableau12[Donnée (Niveau 6)])</totalsRowFormula>
    </tableColumn>
    <tableColumn id="8" xr3:uid="{05104B7E-48BC-48C5-B4C9-B0719BA33344}" name="Description" totalsRowFunction="custom" dataDxfId="8">
      <totalsRowFormula>SUBTOTAL(103,Tableau12[Description])</totalsRowFormula>
    </tableColumn>
    <tableColumn id="9" xr3:uid="{614AAED4-0FFF-4312-9849-5269BBACA5F4}" name="Exemples" totalsRowFunction="custom" dataDxfId="7">
      <totalsRowFormula>SUBTOTAL(103,Tableau12[Exemples])</totalsRowFormula>
    </tableColumn>
    <tableColumn id="24" xr3:uid="{E4AE869A-0CB6-491F-A644-3F5631849EE2}" name="Balise NexSIS" totalsRowFunction="custom" dataDxfId="6">
      <totalsRowFormula>SUBTOTAL(103,Tableau12[Balise NexSIS])</totalsRowFormula>
    </tableColumn>
    <tableColumn id="10" xr3:uid="{591036EA-D7D7-4CDB-9E72-F34570B08579}" name="Nouvelle balise" totalsRowFunction="custom" dataDxfId="5">
      <totalsRowFormula>SUBTOTAL(103,Tableau12[Nouvelle balise])</totalsRowFormula>
    </tableColumn>
    <tableColumn id="23" xr3:uid="{17E8B19F-5463-4A93-9375-F25F24920A06}" name="Nantes - balise" totalsRowFunction="custom" dataDxfId="4">
      <totalsRowFormula>SUBTOTAL(103,Tableau12[Nantes - balise])</totalsRowFormula>
    </tableColumn>
    <tableColumn id="22" xr3:uid="{752C5DB9-CA47-4947-BC51-EA0AB6CAF178}" name="Nantes - description" totalsRowFunction="custom" dataDxfId="3">
      <totalsRowFormula>SUBTOTAL(103,Tableau12[Nantes - description])</totalsRowFormula>
    </tableColumn>
    <tableColumn id="21" xr3:uid="{3086C8B1-9331-471D-85E4-DFE9ECD0778B}" name="GT399" totalsRowFunction="custom" dataDxfId="2">
      <totalsRowFormula>SUBTOTAL(103,Tableau12[GT399])</totalsRowFormula>
    </tableColumn>
    <tableColumn id="20" xr3:uid="{7161B64A-7444-47C0-A0EB-FBE31CB32883}" name="GT399 description" totalsRowFunction="custom" dataDxfId="1">
      <totalsRowFormula>SUBTOTAL(103,Tableau12[GT399 description])</totalsRowFormula>
    </tableColumn>
    <tableColumn id="19" xr3:uid="{7B7F428D-98DE-48C1-B4C7-1B8FEF343340}" name="Priorisation" totalsRowFunction="custom" dataDxfId="0">
      <totalsRowFormula>SUBTOTAL(103,Tableau12[Priorisation])</totalsRowFormula>
    </tableColumn>
    <tableColumn id="11" xr3:uid="{E99FD956-482E-4AA4-82E6-7D61F628BE63}" name="Cardinalité" totalsRowFunction="custom">
      <totalsRowFormula>SUBTOTAL(103,Tableau12[Cardinalité])</totalsRowFormula>
    </tableColumn>
    <tableColumn id="12" xr3:uid="{A1053CD4-A61B-46E0-8452-817CA1D9CB64}" name="Objet" totalsRowFunction="custom">
      <totalsRowFormula>SUBTOTAL(103,Tableau12[Objet])</totalsRowFormula>
    </tableColumn>
    <tableColumn id="13" xr3:uid="{044790BB-FA55-4D64-ADFC-11512D27938E}" name="Format (ou type)" totalsRowFunction="custom">
      <totalsRowFormula>SUBTOTAL(103,Tableau12[Format (ou type)])</totalsRowFormula>
    </tableColumn>
    <tableColumn id="14" xr3:uid="{4DD09D27-53D9-4005-AF67-5EE97165F916}" name="Nomenclature/ énumération" totalsRowFunction="custom">
      <totalsRowFormula>SUBTOTAL(103,Tableau12[Nomenclature/ énumération])</totalsRowFormula>
    </tableColumn>
    <tableColumn id="15" xr3:uid="{A4EF8D2C-19E0-4869-9DE0-2680D765C2C8}" name="Détails de format" totalsRowFunction="custom">
      <totalsRowFormula>SUBTOTAL(103,Tableau12[Détails de format])</totalsRowFormula>
    </tableColumn>
    <tableColumn id="16" xr3:uid="{B67B86F9-FE86-49C9-AE61-8DE3A7A3C187}" name="15-18" totalsRowFunction="custom">
      <totalsRowFormula>SUBTOTAL(103,Tableau12[15-18])</totalsRowFormula>
    </tableColumn>
    <tableColumn id="17" xr3:uid="{AA08C70E-0BC5-4752-BEFD-381D3F7A8A4F}" name="15-15" totalsRowFunction="custom">
      <totalsRowFormula>SUBTOTAL(103,Tableau12[15-15])</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1167" dataDxfId="1166" totalsRowDxfId="1165">
  <autoFilter ref="A8:AD14" xr:uid="{EF99425A-BF7C-494D-843B-A436A28F1D50}"/>
  <tableColumns count="30">
    <tableColumn id="26" xr3:uid="{D5B2518C-6D8E-6147-8C4F-B866728B3834}" name="ID" totalsRowFunction="count" dataDxfId="1163" totalsRowDxfId="1164"/>
    <tableColumn id="34" xr3:uid="{87148819-B7A5-7947-82EE-7CD825960AED}" name="Donnée (Niveau 1)" dataDxfId="1161" totalsRowDxfId="1162"/>
    <tableColumn id="1" xr3:uid="{D13C8DA4-A6E7-6647-83BF-735A36445504}" name="Donnée (Niveau 2)" totalsRowFunction="count" dataDxfId="1159" totalsRowDxfId="1160"/>
    <tableColumn id="2" xr3:uid="{9844E3D8-484C-674F-A6FE-C5E74C0BECD7}" name="Donnée (Niveau 3)" totalsRowFunction="count" dataDxfId="1157" totalsRowDxfId="1158"/>
    <tableColumn id="3" xr3:uid="{EDEAC3BB-E6E5-6D4A-81D4-0D53BDE32BE7}" name="Donnée (Niveau 4)" totalsRowFunction="count" dataDxfId="1155" totalsRowDxfId="1156"/>
    <tableColumn id="4" xr3:uid="{02D62420-0C0A-4A42-BF62-D538EE277DA2}" name="Donnée (Niveau 5)" totalsRowFunction="count" dataDxfId="1153" totalsRowDxfId="1154"/>
    <tableColumn id="5" xr3:uid="{AEDF2332-EB8E-3F47-A30F-62F4B295DC6E}" name="Donnée (Niveau 6)" totalsRowFunction="count" dataDxfId="1151" totalsRowDxfId="1152"/>
    <tableColumn id="6" xr3:uid="{6B82679A-C79E-B942-87C2-2A9AC62DFE61}" name="Description" totalsRowFunction="count" dataDxfId="1149" totalsRowDxfId="1150"/>
    <tableColumn id="14" xr3:uid="{64EB0DE7-7110-B649-B47F-39D14AB54769}" name="Exemples" totalsRowFunction="count" dataDxfId="1147" totalsRowDxfId="1148"/>
    <tableColumn id="7" xr3:uid="{30859462-25E2-6C4B-8D3C-5F2310CF2710}" name="Balise NexSIS" totalsRowFunction="count" dataDxfId="1145" totalsRowDxfId="1146"/>
    <tableColumn id="21" xr3:uid="{C7789C87-5B0F-9240-95BB-36A6DBBF16F7}" name="Nouvelle balise" totalsRowFunction="count" dataDxfId="1143" totalsRowDxfId="1144"/>
    <tableColumn id="8" xr3:uid="{56A311D2-6944-B44A-BA90-1B44FB783B25}" name="Nantes - balise" totalsRowFunction="count" dataDxfId="1141" totalsRowDxfId="1142"/>
    <tableColumn id="15" xr3:uid="{CC481BC4-1ACF-7849-B03D-7121652EE416}" name="Nantes - description" totalsRowFunction="count" dataDxfId="1139" totalsRowDxfId="1140"/>
    <tableColumn id="18" xr3:uid="{DA3EC825-B94E-6142-B1D1-58F763F6812E}" name="GT399" totalsRowFunction="count" dataDxfId="1137" totalsRowDxfId="1138"/>
    <tableColumn id="9" xr3:uid="{A60F6B9F-CF7A-6F48-A3FD-7FC591506696}" name="GT399 description" totalsRowFunction="count" dataDxfId="1135" totalsRowDxfId="1136"/>
    <tableColumn id="10" xr3:uid="{F183E99A-8936-D242-9E2F-7DF202579449}" name="Priorisation" totalsRowFunction="count" dataDxfId="1133" totalsRowDxfId="1134"/>
    <tableColumn id="11" xr3:uid="{0C55DBEB-B030-EB40-8778-44C43E402B7D}" name="Cardinalité" dataDxfId="1131" totalsRowDxfId="1132"/>
    <tableColumn id="27" xr3:uid="{3EA0014F-1F9E-3346-86AA-D19E79E32F71}" name="Objet" totalsRowFunction="count" dataDxfId="1129" totalsRowDxfId="1130"/>
    <tableColumn id="12" xr3:uid="{A3CD3B4C-97D3-9741-9A73-087C7A9F8936}" name="Format (ou type)" totalsRowFunction="count" dataDxfId="1127" totalsRowDxfId="1128"/>
    <tableColumn id="37" xr3:uid="{3FE45E5F-AD1E-7B48-BE25-BC7327DD16EC}" name="Nomenclature/ énumération" dataDxfId="1125" totalsRowDxfId="1126"/>
    <tableColumn id="31" xr3:uid="{9CB46CA4-597C-5148-8480-F8796E3C5AFD}" name="Détails de format" dataDxfId="1123" totalsRowDxfId="1124"/>
    <tableColumn id="36" xr3:uid="{97A47004-218F-7749-B82B-5B2AEE40A23C}" name="15-18" dataDxfId="1121" totalsRowDxfId="1122"/>
    <tableColumn id="35" xr3:uid="{544CEA0F-DCB5-C64C-9CDE-A40F1906888F}" name="15-15" dataDxfId="1119" totalsRowDxfId="1120"/>
    <tableColumn id="39" xr3:uid="{6DB8C4C4-E592-DA4D-B502-CA1F3A98FF18}" name="CUT" dataDxfId="1117" totalsRowDxfId="1118"/>
    <tableColumn id="19" xr3:uid="{F48E57B7-0080-CD4F-8CC0-D9866BEEABEE}" name="Commentaire Hub Santé" totalsRowFunction="count" dataDxfId="1115" totalsRowDxfId="1116"/>
    <tableColumn id="16" xr3:uid="{93611743-80E2-3A49-9F47-6E81E63C36BC}" name="Commentaire Philippe Dreyfus" totalsRowFunction="count" dataDxfId="1113" totalsRowDxfId="1114"/>
    <tableColumn id="33" xr3:uid="{E8582012-E1AA-5C48-84F3-81E85831EA3D}" name="Commentaire FBE" dataDxfId="1111" totalsRowDxfId="1112"/>
    <tableColumn id="17" xr3:uid="{10CD9342-79AA-B840-BD59-F6A02345EC01}" name="Commentaire Yann Penverne" totalsRowFunction="count" dataDxfId="1109" totalsRowDxfId="1110"/>
    <tableColumn id="20" xr3:uid="{36DD8A92-EC42-2849-A047-5EE0AABF1132}" name="NexSIS" totalsRowFunction="custom" dataDxfId="1107" totalsRowDxfId="1108">
      <totalsRowFormula>SUBTOTAL(103,createCase3[NexSIS])-COUNTIFS(createCase3[NexSIS],"=X")</totalsRowFormula>
    </tableColumn>
    <tableColumn id="22" xr3:uid="{055A2D99-D525-3349-A349-779652E6F495}" name="Métier" totalsRowFunction="custom" dataDxfId="1105" totalsRowDxfId="1106">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5BFB8F0-0EE3-5C42-973A-31DD11D02E9D}" name="createCase14" displayName="createCase14" ref="A8:AD188" totalsRowCount="1" headerRowDxfId="862" dataDxfId="861" totalsRowDxfId="860">
  <autoFilter ref="A8:AD187" xr:uid="{EF99425A-BF7C-494D-843B-A436A28F1D50}"/>
  <tableColumns count="30">
    <tableColumn id="26" xr3:uid="{9FCA27E3-B5C5-6748-9924-6BF8AE22994F}" name="ID" totalsRowFunction="count" dataDxfId="858" totalsRowDxfId="859"/>
    <tableColumn id="34" xr3:uid="{670D2291-EE89-6745-9E6C-13CE055B221A}" name="Donnée (Niveau 1)" dataDxfId="856" totalsRowDxfId="857"/>
    <tableColumn id="1" xr3:uid="{D3FF4B33-8D6F-F44D-ACBE-B56B5AA7E0F1}" name="Donnée (Niveau 2)" totalsRowFunction="count" dataDxfId="854" totalsRowDxfId="855"/>
    <tableColumn id="2" xr3:uid="{1BF68FE9-41CA-4F44-AF59-34610D0B032B}" name="Donnée (Niveau 3)" totalsRowFunction="count" dataDxfId="852" totalsRowDxfId="853"/>
    <tableColumn id="3" xr3:uid="{BF342353-4CD2-6D4B-8877-287955DA3CB6}" name="Donnée (Niveau 4)" totalsRowFunction="count" dataDxfId="850" totalsRowDxfId="851"/>
    <tableColumn id="4" xr3:uid="{B5115124-D83F-0F49-B767-21F245687978}" name="Donnée (Niveau 5)" totalsRowFunction="count" dataDxfId="848" totalsRowDxfId="849"/>
    <tableColumn id="5" xr3:uid="{C1E38DC7-FFF0-C243-8BB7-B5B50B6050DC}" name="Donnée (Niveau 6)" totalsRowFunction="count" dataDxfId="846" totalsRowDxfId="847"/>
    <tableColumn id="6" xr3:uid="{1AF5CF36-6DDD-9F41-B108-C7F32D2808A9}" name="Description" totalsRowFunction="count" dataDxfId="844" totalsRowDxfId="845"/>
    <tableColumn id="14" xr3:uid="{EC52D93C-D1B8-564D-AF41-CC399531433F}" name="Exemples" totalsRowFunction="count" dataDxfId="842" totalsRowDxfId="843"/>
    <tableColumn id="7" xr3:uid="{C195506B-3B4B-E84B-BB1C-3C37D3020745}" name="Balise NexSIS" totalsRowFunction="count" dataDxfId="840" totalsRowDxfId="841"/>
    <tableColumn id="21" xr3:uid="{6BE2B9A8-611B-2842-B4F6-B15A3EB1A73A}" name="Nouvelle balise" totalsRowFunction="count" dataDxfId="838" totalsRowDxfId="839"/>
    <tableColumn id="8" xr3:uid="{62049879-FFA9-0041-B7CC-BE65C41CF355}" name="Nantes - balise" totalsRowFunction="count" dataDxfId="836" totalsRowDxfId="837"/>
    <tableColumn id="15" xr3:uid="{D534DF52-8379-9842-ABD3-2AF28C00F157}" name="Nantes - description" totalsRowFunction="count" dataDxfId="834" totalsRowDxfId="835"/>
    <tableColumn id="18" xr3:uid="{08B4C1D2-5D29-FC49-B6CA-DC8C2F801A4F}" name="GT399" totalsRowFunction="count" dataDxfId="832" totalsRowDxfId="833"/>
    <tableColumn id="9" xr3:uid="{8DDCF28D-0B23-4A4A-973F-FC9DE186A087}" name="GT399 description" totalsRowFunction="count" dataDxfId="830" totalsRowDxfId="831"/>
    <tableColumn id="10" xr3:uid="{AB712977-4D33-844C-B712-7B6D08F76135}" name="Priorisation" totalsRowFunction="count" dataDxfId="828" totalsRowDxfId="829"/>
    <tableColumn id="11" xr3:uid="{B7619EF9-C72D-C04F-B907-02FD0C5A337E}" name="Cardinalité" dataDxfId="826" totalsRowDxfId="827"/>
    <tableColumn id="27" xr3:uid="{2C51BE35-9394-CB45-BD59-D29B3B20CF86}" name="Objet" totalsRowFunction="count" dataDxfId="824" totalsRowDxfId="825"/>
    <tableColumn id="12" xr3:uid="{7D72EB44-81AF-E146-865D-F1C0D3127070}" name="Format (ou type)" totalsRowFunction="count" dataDxfId="822" totalsRowDxfId="823"/>
    <tableColumn id="37" xr3:uid="{D959866B-1133-0442-8E84-95468C13AA78}" name="Nomenclature/ énumération" dataDxfId="820" totalsRowDxfId="821"/>
    <tableColumn id="31" xr3:uid="{2289C790-8EF1-E343-9951-0935C24F8868}" name="Détails de format" dataDxfId="818" totalsRowDxfId="819"/>
    <tableColumn id="36" xr3:uid="{114B4AF3-33E1-7C4A-9AAE-CCD7115F8C7F}" name="Exos" dataDxfId="816" totalsRowDxfId="817"/>
    <tableColumn id="35" xr3:uid="{14A46499-2D1C-8745-955F-FACE353F0330}" name="15-15" dataDxfId="814" totalsRowDxfId="815"/>
    <tableColumn id="39" xr3:uid="{B6016385-0EF1-B444-8FDD-77207BC65BF4}" name="CUT" dataDxfId="812" totalsRowDxfId="813"/>
    <tableColumn id="19" xr3:uid="{5D259276-A4A8-0E4D-B842-88C5BD787233}" name="Commentaire Hub Santé" totalsRowFunction="count" dataDxfId="810" totalsRowDxfId="811"/>
    <tableColumn id="16" xr3:uid="{D8D7C71D-0459-ED42-B740-441474BFC7C7}" name="Commentaire Philippe Dreyfus" totalsRowFunction="count" dataDxfId="808" totalsRowDxfId="809"/>
    <tableColumn id="33" xr3:uid="{AE6948BE-C375-1240-B153-30085F2B8078}" name="Commentaire FBE" dataDxfId="806" totalsRowDxfId="807"/>
    <tableColumn id="17" xr3:uid="{3DA4721A-8C03-4046-9E85-5CAE073AEBE4}" name="Commentaire Yann Penverne" totalsRowFunction="count" dataDxfId="804" totalsRowDxfId="805"/>
    <tableColumn id="20" xr3:uid="{A2603458-A036-8F40-B52A-20E060AFC53E}" name="NexSIS" totalsRowFunction="custom" dataDxfId="802" totalsRowDxfId="803">
      <totalsRowFormula>SUBTOTAL(103,createCase14[NexSIS])-COUNTIFS(createCase14[NexSIS],"=X")</totalsRowFormula>
    </tableColumn>
    <tableColumn id="22" xr3:uid="{83FB27D0-B0EC-334D-AA15-7C8578C7FD5B}" name="Métier" totalsRowFunction="custom" dataDxfId="800" totalsRowDxfId="801">
      <totalsRowFormula>SUBTOTAL(103,createCase14[Métier])-COUNTIFS(createCase14[Métier],"=X")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86" totalsRowCount="1" headerRowDxfId="557" dataDxfId="556" totalsRowDxfId="555">
  <autoFilter ref="A8:AD185" xr:uid="{EF99425A-BF7C-494D-843B-A436A28F1D50}"/>
  <tableColumns count="30">
    <tableColumn id="26" xr3:uid="{F89F79B0-EC13-4626-8B8B-E72803CF8D7F}" name="ID" totalsRowFunction="count" dataDxfId="553" totalsRowDxfId="554"/>
    <tableColumn id="34" xr3:uid="{82D9E408-6E89-6548-8064-32C2C1C49796}" name="Donnée (Niveau 1)" dataDxfId="551" totalsRowDxfId="552"/>
    <tableColumn id="1" xr3:uid="{A4D81CB2-5DBF-46A1-831A-3B0CB8713987}" name="Donnée (Niveau 2)" totalsRowFunction="count" dataDxfId="549" totalsRowDxfId="550"/>
    <tableColumn id="2" xr3:uid="{70FEA672-42A5-4D50-83E3-20F1DC99F826}" name="Donnée (Niveau 3)" totalsRowFunction="count" dataDxfId="547" totalsRowDxfId="548"/>
    <tableColumn id="3" xr3:uid="{E5F546D4-3F7C-49D3-ACAD-5C0AA86EEA72}" name="Donnée (Niveau 4)" totalsRowFunction="count" dataDxfId="545" totalsRowDxfId="546"/>
    <tableColumn id="4" xr3:uid="{C36F63D5-6F86-4068-8553-7E11F2FF2E34}" name="Donnée (Niveau 5)" totalsRowFunction="count" dataDxfId="543" totalsRowDxfId="544"/>
    <tableColumn id="5" xr3:uid="{BCD32C8B-1BF5-4152-A4E3-856EB454D41F}" name="Donnée (Niveau 6)" totalsRowFunction="count" dataDxfId="541" totalsRowDxfId="542"/>
    <tableColumn id="6" xr3:uid="{31AB271A-A79E-4AD6-A425-139013E5C0ED}" name="Description" totalsRowFunction="count" dataDxfId="539" totalsRowDxfId="540"/>
    <tableColumn id="14" xr3:uid="{42356E16-5C2C-47EF-96D9-1439EB52D654}" name="Exemples" totalsRowFunction="count" dataDxfId="537" totalsRowDxfId="538"/>
    <tableColumn id="7" xr3:uid="{05B3DFF6-BC4E-40A1-862A-0EBD5F2686D8}" name="Balise NexSIS" totalsRowFunction="count" dataDxfId="535" totalsRowDxfId="536"/>
    <tableColumn id="21" xr3:uid="{A67EAB5D-C889-4A87-AEDD-CB5D507B5224}" name="Nouvelle balise" totalsRowFunction="count" dataDxfId="533" totalsRowDxfId="534"/>
    <tableColumn id="8" xr3:uid="{142E6E6B-2EEA-41C0-969F-103EB7FEE77B}" name="Nantes - balise" totalsRowFunction="count" dataDxfId="531" totalsRowDxfId="532"/>
    <tableColumn id="15" xr3:uid="{4B3C95EC-2C41-42CE-9528-75F02E532B07}" name="Nantes - description" totalsRowFunction="count" dataDxfId="529" totalsRowDxfId="530"/>
    <tableColumn id="18" xr3:uid="{DD4C49C8-6EEB-4810-B6DF-F5EA0958E68F}" name="GT399" totalsRowFunction="count" dataDxfId="527" totalsRowDxfId="528"/>
    <tableColumn id="9" xr3:uid="{1EF347D1-5F3C-455F-B7CC-0411A0A13BA5}" name="GT399 description" totalsRowFunction="count" dataDxfId="525" totalsRowDxfId="526"/>
    <tableColumn id="10" xr3:uid="{A688C13F-43B2-4D38-AB61-5A8FA70F8877}" name="Priorisation" totalsRowFunction="count" dataDxfId="523" totalsRowDxfId="524"/>
    <tableColumn id="11" xr3:uid="{740E98DF-4145-4688-96B5-1DB2B4C65860}" name="Cardinalité" dataDxfId="521" totalsRowDxfId="522"/>
    <tableColumn id="27" xr3:uid="{5362BDCB-F398-463F-807C-5642BE8139A3}" name="Objet" totalsRowFunction="count" dataDxfId="519" totalsRowDxfId="520"/>
    <tableColumn id="12" xr3:uid="{F99D40B9-B75A-4B6D-AD14-A9CC94A67A94}" name="Format (ou type)" totalsRowFunction="count" dataDxfId="517" totalsRowDxfId="518"/>
    <tableColumn id="37" xr3:uid="{C4249FC6-D549-4A35-98D7-D98FEFD604C7}" name="Nomenclature/ énumération" dataDxfId="515" totalsRowDxfId="516"/>
    <tableColumn id="31" xr3:uid="{165DCEEB-09D9-4414-9EB1-071322B65527}" name="Détails de format" dataDxfId="513" totalsRowDxfId="514"/>
    <tableColumn id="36" xr3:uid="{DFE77849-E589-4C00-A974-5EA32CAC9950}" name="15-18" dataDxfId="511" totalsRowDxfId="512"/>
    <tableColumn id="35" xr3:uid="{6F7422E5-A9F0-4CB5-94CC-23CADED3A1EA}" name="15-15" dataDxfId="509" totalsRowDxfId="510"/>
    <tableColumn id="39" xr3:uid="{D123E456-B227-404D-9075-2C12B6D79281}" name="CUT" dataDxfId="507" totalsRowDxfId="508"/>
    <tableColumn id="19" xr3:uid="{0E27CA97-E0CC-4707-8A95-C2EB8B822A50}" name="Commentaire Hub Santé" totalsRowFunction="count" dataDxfId="505" totalsRowDxfId="506"/>
    <tableColumn id="16" xr3:uid="{85C90A89-19FA-4640-8DE9-5BC81E29801A}" name="Commentaire Philippe Dreyfus" totalsRowFunction="count" dataDxfId="503" totalsRowDxfId="504"/>
    <tableColumn id="33" xr3:uid="{F9B7E469-F267-4217-89F6-2332B9BE9F00}" name="Commentaire FBE" dataDxfId="501" totalsRowDxfId="502"/>
    <tableColumn id="17" xr3:uid="{AF1719C0-5CFC-4F9F-8447-1E16DD154E8D}" name="Commentaire Yann Penverne" totalsRowFunction="count" dataDxfId="499" totalsRowDxfId="500"/>
    <tableColumn id="20" xr3:uid="{A1AC7405-8CAD-4797-ACD3-A6DB9BD4973A}" name="NexSIS" totalsRowFunction="custom" dataDxfId="497" totalsRowDxfId="498">
      <totalsRowFormula>SUBTOTAL(103,createCase[NexSIS])-COUNTIFS(createCase[NexSIS],"=X")</totalsRowFormula>
    </tableColumn>
    <tableColumn id="22" xr3:uid="{BFD15786-BC47-434A-8C58-1A07EC8D4305}" name="Métier" totalsRowFunction="custom" dataDxfId="495" totalsRowDxfId="496">
      <totalsRowFormula>SUBTOTAL(103,createCase[Métier])-COUNTIFS(createCase[Métier],"=X")</totalsRow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1BCAC55-9BDD-436A-8C43-43FA10A8A29F}" name="createCase215" displayName="createCase215" ref="A8:AD93" totalsRowCount="1" headerRowDxfId="486" dataDxfId="485" totalsRowDxfId="484">
  <autoFilter ref="A8:AD92" xr:uid="{61BCAC55-9BDD-436A-8C43-43FA10A8A29F}"/>
  <tableColumns count="30">
    <tableColumn id="26" xr3:uid="{588455DD-C3D5-4460-AC26-09BB83302193}" name="ID" totalsRowFunction="count" dataDxfId="482" totalsRowDxfId="483"/>
    <tableColumn id="34" xr3:uid="{75617E3F-38B8-498E-B488-E5382B8D8E59}" name="Donnée (Niveau 1)" dataDxfId="480" totalsRowDxfId="481"/>
    <tableColumn id="1" xr3:uid="{90A61A2B-B1CF-4E5B-AC63-E218B3506FE1}" name="Donnée (Niveau 2)" totalsRowFunction="count" dataDxfId="478" totalsRowDxfId="479"/>
    <tableColumn id="2" xr3:uid="{40B5ED06-C233-4300-B851-9639491A20EA}" name="Donnée (Niveau 3)" totalsRowFunction="count" dataDxfId="476" totalsRowDxfId="477"/>
    <tableColumn id="3" xr3:uid="{FE650810-91F2-43FA-A1A9-4ADEDDF019D9}" name="Donnée (Niveau 4)" totalsRowFunction="count" dataDxfId="474" totalsRowDxfId="475"/>
    <tableColumn id="4" xr3:uid="{67B0AC35-FCE9-4B98-A5B5-F79242422DED}" name="Donnée (Niveau 5)" totalsRowFunction="count" dataDxfId="472" totalsRowDxfId="473"/>
    <tableColumn id="5" xr3:uid="{5584FBA0-8C9A-4B74-996C-489E5B6D8B31}" name="Donnée (Niveau 6)" totalsRowFunction="count" dataDxfId="470" totalsRowDxfId="471"/>
    <tableColumn id="6" xr3:uid="{B561E47E-0EF4-4741-9318-11ED52CE2081}" name="Description" totalsRowFunction="count" dataDxfId="468" totalsRowDxfId="469"/>
    <tableColumn id="14" xr3:uid="{BCB241CF-864B-404B-9457-5CFCE283A52E}" name="Exemples" totalsRowFunction="count" dataDxfId="466" totalsRowDxfId="467"/>
    <tableColumn id="7" xr3:uid="{EAF17525-FE29-430A-A520-5F864853ED00}" name="Balise NexSIS" totalsRowFunction="count" dataDxfId="464" totalsRowDxfId="465"/>
    <tableColumn id="21" xr3:uid="{D0BFFE6C-4225-46D0-B895-F3676779BA23}" name="Nouvelle balise" totalsRowFunction="count" dataDxfId="462" totalsRowDxfId="463"/>
    <tableColumn id="8" xr3:uid="{3895610D-D4D5-42BF-BCF9-30A1A3C697D5}" name="Nantes - balise" totalsRowFunction="count" dataDxfId="460" totalsRowDxfId="461"/>
    <tableColumn id="15" xr3:uid="{A4C3AF04-789D-45AA-AF75-181EE5D3C889}" name="Nantes - description" totalsRowFunction="count" dataDxfId="458" totalsRowDxfId="459"/>
    <tableColumn id="18" xr3:uid="{0B319C5E-2B1A-48A1-AB5B-565B289E8E5A}" name="GT399" totalsRowFunction="count" dataDxfId="456" totalsRowDxfId="457"/>
    <tableColumn id="9" xr3:uid="{3270362B-AE6D-4A4F-9B53-9B4705420332}" name="GT399 description" totalsRowFunction="count" dataDxfId="454" totalsRowDxfId="455"/>
    <tableColumn id="10" xr3:uid="{7DFD36C3-C87A-40C8-A097-E0E6D15F31FF}" name="Priorisation" totalsRowFunction="count" dataDxfId="452" totalsRowDxfId="453"/>
    <tableColumn id="11" xr3:uid="{830A5A92-5BDB-4DBC-B7BB-71ACF59E0F86}" name="Cardinalité" dataDxfId="450" totalsRowDxfId="451"/>
    <tableColumn id="27" xr3:uid="{84308AE7-7DC0-4DF5-B1F2-D62629FB9721}" name="Objet" totalsRowFunction="count" dataDxfId="448" totalsRowDxfId="449"/>
    <tableColumn id="12" xr3:uid="{BC7634C4-D51C-4D1D-A74D-CA61CA757208}" name="Format (ou type)" totalsRowFunction="count" dataDxfId="446" totalsRowDxfId="447"/>
    <tableColumn id="37" xr3:uid="{66BD417D-8F82-43EE-8B74-84DF4CC46C92}" name="Nomenclature/ énumération" dataDxfId="444" totalsRowDxfId="445"/>
    <tableColumn id="31" xr3:uid="{57E65586-98BD-4335-934F-A093282E1FEE}" name="Détails de format" dataDxfId="442" totalsRowDxfId="443"/>
    <tableColumn id="36" xr3:uid="{8151D5CE-9DBC-4230-BFCD-A109E5501497}" name="15-18" dataDxfId="440" totalsRowDxfId="441"/>
    <tableColumn id="35" xr3:uid="{B2C9F5A2-91F5-468B-AE17-940BE1DE3870}" name="15-SMUR" dataDxfId="438" totalsRowDxfId="439"/>
    <tableColumn id="39" xr3:uid="{81AAA84E-9D2F-4ADE-9D78-C7DB3A5A2ACF}" name="15-ATSU" dataDxfId="436" totalsRowDxfId="437"/>
    <tableColumn id="19" xr3:uid="{0F82E793-70E1-4AE5-ACE7-7E8EB5091B93}" name="Commentaire Hub Santé" totalsRowFunction="count" dataDxfId="434" totalsRowDxfId="435"/>
    <tableColumn id="16" xr3:uid="{C59347C9-5FCC-40A9-8926-CA2A963211D3}" name="Commentaire Philippe Dreyfus" totalsRowFunction="count" dataDxfId="432" totalsRowDxfId="433"/>
    <tableColumn id="33" xr3:uid="{61C64199-FD5A-477C-9F67-38D22581EECF}" name="Commentaire FBE" dataDxfId="430" totalsRowDxfId="431"/>
    <tableColumn id="17" xr3:uid="{E78A9C85-C797-4A18-8685-52FDE2B659CA}" name="Commentaire Yann Penverne" totalsRowFunction="count" dataDxfId="428" totalsRowDxfId="429"/>
    <tableColumn id="20" xr3:uid="{F9D1F989-7BDE-4BE2-8178-8D906FAA358D}" name="NexSIS" totalsRowFunction="custom" dataDxfId="426" totalsRowDxfId="427">
      <totalsRowFormula>SUBTOTAL(103,createCase215[NexSIS])-COUNTIFS(createCase215[NexSIS],"=X")</totalsRowFormula>
    </tableColumn>
    <tableColumn id="22" xr3:uid="{736803F3-8344-4B8F-A1B7-881CC3FA1483}" name="Métier" totalsRowFunction="custom" dataDxfId="424" totalsRowDxfId="425">
      <totalsRowFormula>SUBTOTAL(103,createCase215[Métier])-COUNTIFS(createCase215[Métier],"=X")</totalsRow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9B08A9-6E95-44C3-AAF2-47A1E041A300}" name="createCase2" displayName="createCase2" ref="A8:AD41" totalsRowCount="1" headerRowDxfId="398" dataDxfId="397" totalsRowDxfId="396">
  <autoFilter ref="A8:AD40" xr:uid="{139B08A9-6E95-44C3-AAF2-47A1E041A300}"/>
  <tableColumns count="30">
    <tableColumn id="26" xr3:uid="{76B09BD2-765E-4FE8-A29E-4F59C0D3711E}" name="ID" totalsRowFunction="count" dataDxfId="394" totalsRowDxfId="395"/>
    <tableColumn id="34" xr3:uid="{E6A9750D-7053-42BF-B6E9-5D60426C66F9}" name="Donnée (Niveau 1)" dataDxfId="392" totalsRowDxfId="393"/>
    <tableColumn id="1" xr3:uid="{4A041B0F-51F6-4EC2-81E6-BF60C95ABF25}" name="Donnée (Niveau 2)" totalsRowFunction="count" dataDxfId="390" totalsRowDxfId="391"/>
    <tableColumn id="2" xr3:uid="{508E268C-7E33-4DCA-9D64-83D885B49EC5}" name="Donnée (Niveau 3)" totalsRowFunction="count" dataDxfId="388" totalsRowDxfId="389"/>
    <tableColumn id="3" xr3:uid="{9071058B-1804-4AB5-AAE7-D8C9C7B172A4}" name="Donnée (Niveau 4)" totalsRowFunction="count" dataDxfId="386" totalsRowDxfId="387"/>
    <tableColumn id="4" xr3:uid="{1DD618A4-ED59-43AE-A0EF-48925F5F1DF7}" name="Donnée (Niveau 5)" totalsRowFunction="count" dataDxfId="384" totalsRowDxfId="385"/>
    <tableColumn id="5" xr3:uid="{DC181194-2591-4E2C-B612-885B1DD860D2}" name="Donnée (Niveau 6)" totalsRowFunction="count" dataDxfId="382" totalsRowDxfId="383"/>
    <tableColumn id="6" xr3:uid="{3E49BD0B-2C80-4D4F-A659-BBF50E5B0114}" name="Description" totalsRowFunction="count" dataDxfId="380" totalsRowDxfId="381"/>
    <tableColumn id="14" xr3:uid="{C549C695-BAEF-49B5-A6D0-DD9B2603E7F0}" name="Exemples" totalsRowFunction="count" dataDxfId="378" totalsRowDxfId="379"/>
    <tableColumn id="7" xr3:uid="{3A029491-29BB-4A14-A068-783A3BE9CC02}" name="Balise NexSIS" totalsRowFunction="count" dataDxfId="376" totalsRowDxfId="377"/>
    <tableColumn id="21" xr3:uid="{35970E5D-CE82-4B4E-8042-878639816E01}" name="Nouvelle balise" totalsRowFunction="count" dataDxfId="374" totalsRowDxfId="375"/>
    <tableColumn id="8" xr3:uid="{674D42D7-849A-4D38-BBE6-32BE88031AC3}" name="Nantes - balise" totalsRowFunction="count" dataDxfId="372" totalsRowDxfId="373"/>
    <tableColumn id="15" xr3:uid="{C98D4E8E-1263-466C-B977-9228E42E6B00}" name="Nantes - description" totalsRowFunction="count" dataDxfId="370" totalsRowDxfId="371"/>
    <tableColumn id="18" xr3:uid="{DE1FC6D8-BAB2-4E3D-9655-D3AFFDC7901A}" name="GT399" totalsRowFunction="count" dataDxfId="368" totalsRowDxfId="369"/>
    <tableColumn id="9" xr3:uid="{CB79D2B8-2C86-4243-85BB-74FBC8C27E99}" name="GT399 description" totalsRowFunction="count" dataDxfId="366" totalsRowDxfId="367"/>
    <tableColumn id="10" xr3:uid="{2D46238A-3590-40BF-8718-041D8D64C9ED}" name="Priorisation" totalsRowFunction="count" dataDxfId="364" totalsRowDxfId="365"/>
    <tableColumn id="11" xr3:uid="{2C5C1662-A3D3-4057-93B5-F0916A89A3F7}" name="Cardinalité" dataDxfId="362" totalsRowDxfId="363"/>
    <tableColumn id="27" xr3:uid="{37755F76-E837-4DB7-8AC8-ACA5F1ADBDE4}" name="Objet" totalsRowFunction="count" dataDxfId="360" totalsRowDxfId="361"/>
    <tableColumn id="12" xr3:uid="{C9A7FA5F-4EF8-43F5-873B-C866A2D24F9C}" name="Format (ou type)" totalsRowFunction="count" dataDxfId="358" totalsRowDxfId="359"/>
    <tableColumn id="37" xr3:uid="{D2628546-E974-4FE9-85CF-345D22D4CAEA}" name="Nomenclature/ énumération" dataDxfId="356" totalsRowDxfId="357"/>
    <tableColumn id="31" xr3:uid="{8834D6C9-91D9-4EE6-A7FE-EA935206C97A}" name="Détails de format" dataDxfId="354" totalsRowDxfId="355"/>
    <tableColumn id="36" xr3:uid="{F3CF33D2-5F9B-4F42-ADEC-C7558AA3D097}" name="15-18" dataDxfId="352" totalsRowDxfId="353"/>
    <tableColumn id="35" xr3:uid="{A4B741B2-27ED-4D6E-83EA-5674583CB8F7}" name="15-15" dataDxfId="350" totalsRowDxfId="351"/>
    <tableColumn id="39" xr3:uid="{82EF489F-83FD-44B6-98BE-98C0B08DCF31}" name="CUT" dataDxfId="348" totalsRowDxfId="349"/>
    <tableColumn id="19" xr3:uid="{E14635D2-4836-49E1-B486-3A7B5BADDE08}" name="Commentaire Hub Santé" totalsRowFunction="count" dataDxfId="346" totalsRowDxfId="347"/>
    <tableColumn id="16" xr3:uid="{0944CC7E-4137-4097-9CC1-0EB22831617D}" name="Commentaire Philippe Dreyfus" totalsRowFunction="count" dataDxfId="344" totalsRowDxfId="345"/>
    <tableColumn id="33" xr3:uid="{489D7767-92B8-4DF9-98DC-35CB934214D2}" name="Commentaire FBE" dataDxfId="342" totalsRowDxfId="343"/>
    <tableColumn id="17" xr3:uid="{CD72D700-F87C-4002-9D2D-800596DC1B5C}" name="Commentaire Yann Penverne" totalsRowFunction="count" dataDxfId="340" totalsRowDxfId="341"/>
    <tableColumn id="20" xr3:uid="{CE76C422-74CC-405E-A0AB-2C07404599C5}" name="NexSIS" totalsRowFunction="custom" dataDxfId="338" totalsRowDxfId="339">
      <totalsRowFormula>SUBTOTAL(103,createCase2[NexSIS])-COUNTIFS(createCase2[NexSIS],"=X")</totalsRowFormula>
    </tableColumn>
    <tableColumn id="22" xr3:uid="{FA49D6E4-4797-4E5F-9319-F66E82C15CDA}" name="Métier" totalsRowFunction="custom" dataDxfId="336" totalsRowDxfId="337">
      <totalsRowFormula>SUBTOTAL(103,createCase2[Métier])-COUNTIFS(createCase2[Métier],"=X")</totalsRow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3D50B21-49FD-4724-931E-4B74BF8476B1}" name="createCase2912" displayName="createCase2912" ref="A8:AD74" totalsRowCount="1" headerRowDxfId="318" dataDxfId="317" totalsRowDxfId="316">
  <autoFilter ref="A8:AD73" xr:uid="{63D50B21-49FD-4724-931E-4B74BF8476B1}"/>
  <tableColumns count="30">
    <tableColumn id="26" xr3:uid="{8D5EDC39-215F-4E94-846A-3D4ACA1D2C53}" name="ID" totalsRowFunction="count" dataDxfId="314" totalsRowDxfId="315"/>
    <tableColumn id="34" xr3:uid="{207093F4-4D8B-4CEB-9D2D-235D14641525}" name="Donnée (Niveau 1)" dataDxfId="312" totalsRowDxfId="313"/>
    <tableColumn id="1" xr3:uid="{9E73ABC5-269F-4BD3-9995-81E72371DAE3}" name="Donnée (Niveau 2)" totalsRowFunction="count" dataDxfId="310" totalsRowDxfId="311"/>
    <tableColumn id="2" xr3:uid="{2161A585-4F28-44FE-A023-7DB4D8C14776}" name="Donnée (Niveau 3)" totalsRowFunction="count" dataDxfId="308" totalsRowDxfId="309"/>
    <tableColumn id="3" xr3:uid="{B4AC3C84-E90A-41BE-8D7E-B00512446AA0}" name="Donnée (Niveau 4)" totalsRowFunction="count" dataDxfId="306" totalsRowDxfId="307"/>
    <tableColumn id="4" xr3:uid="{7625C9EB-D58E-42FE-879B-9F8F2027D9BC}" name="Donnée (Niveau 5)" totalsRowFunction="count" dataDxfId="304" totalsRowDxfId="305"/>
    <tableColumn id="5" xr3:uid="{F9A74558-8C8F-45C8-835B-46F0B31B479D}" name="Donnée (Niveau 6)" totalsRowFunction="count" dataDxfId="302" totalsRowDxfId="303"/>
    <tableColumn id="6" xr3:uid="{09509801-3591-48A7-8985-CCEA3490DE3C}" name="Description" totalsRowFunction="count" dataDxfId="300" totalsRowDxfId="301"/>
    <tableColumn id="14" xr3:uid="{8545E83F-C13A-48FC-82C5-4A224D3A6106}" name="Exemples" totalsRowFunction="count" dataDxfId="298" totalsRowDxfId="299"/>
    <tableColumn id="7" xr3:uid="{F7282465-AB67-4D8A-90B4-CAF4CDB5007B}" name="Balise NexSIS" totalsRowFunction="count" dataDxfId="296" totalsRowDxfId="297"/>
    <tableColumn id="21" xr3:uid="{44DD35C0-3D58-465E-82FF-70ABB11F29EF}" name="Nouvelle balise" totalsRowFunction="count" dataDxfId="294" totalsRowDxfId="295"/>
    <tableColumn id="8" xr3:uid="{8F87BED5-B74C-4B7A-B29D-D91C208A9F73}" name="Nantes - balise" totalsRowFunction="count" dataDxfId="292" totalsRowDxfId="293"/>
    <tableColumn id="15" xr3:uid="{718CC66C-29F4-4C63-B0E0-D70789F55F8F}" name="Nantes - description" totalsRowFunction="count" dataDxfId="290" totalsRowDxfId="291"/>
    <tableColumn id="18" xr3:uid="{65F92B88-E7A2-45E5-8796-E162FAED8248}" name="GT399" totalsRowFunction="count" dataDxfId="288" totalsRowDxfId="289"/>
    <tableColumn id="9" xr3:uid="{A24D6524-4257-4D93-94F9-A3667397DDBA}" name="GT399 description" totalsRowFunction="count" dataDxfId="286" totalsRowDxfId="287"/>
    <tableColumn id="10" xr3:uid="{E016D53B-CB5B-4F83-A1DA-7C210BE8E926}" name="Priorisation" totalsRowFunction="count" dataDxfId="284" totalsRowDxfId="285"/>
    <tableColumn id="11" xr3:uid="{17AE5B25-E42A-4545-AF36-AE2BF5D231F1}" name="Cardinalité" dataDxfId="282" totalsRowDxfId="283"/>
    <tableColumn id="27" xr3:uid="{0646FC2D-E448-497F-9566-96B9E754D7B3}" name="Objet" totalsRowFunction="count" dataDxfId="280" totalsRowDxfId="281"/>
    <tableColumn id="12" xr3:uid="{9F463A79-A8A7-456D-BC30-1910D14EEA3A}" name="Format (ou type)" totalsRowFunction="count" dataDxfId="278" totalsRowDxfId="279"/>
    <tableColumn id="37" xr3:uid="{B034C9F4-78BE-4F4D-9B79-BA9F5DAB2826}" name="Nomenclature/ énumération" dataDxfId="276" totalsRowDxfId="277"/>
    <tableColumn id="31" xr3:uid="{3158C7A2-A99D-4EF2-8BAE-8667747DCF73}" name="Détails de format" dataDxfId="274" totalsRowDxfId="275"/>
    <tableColumn id="36" xr3:uid="{89279DA3-D94C-4AAB-B817-DF00FFBA9888}" name="15-18" dataDxfId="272" totalsRowDxfId="273"/>
    <tableColumn id="35" xr3:uid="{EE84F553-FEE7-4CD0-89C0-C8DD492F4429}" name="15-15" dataDxfId="270" totalsRowDxfId="271"/>
    <tableColumn id="39" xr3:uid="{DA320A45-45B6-4963-91DD-917A38D8DF49}" name="CUT" dataDxfId="268" totalsRowDxfId="269"/>
    <tableColumn id="19" xr3:uid="{FF109D4E-4787-4AB3-9E15-478656FCDADF}" name="Commentaire Hub Santé" totalsRowFunction="count" dataDxfId="266" totalsRowDxfId="267"/>
    <tableColumn id="16" xr3:uid="{642C8AF9-3354-4F6C-A37B-363B64C9780B}" name="Commentaire Philippe Dreyfus" totalsRowFunction="count" dataDxfId="264" totalsRowDxfId="265"/>
    <tableColumn id="33" xr3:uid="{44001357-ED08-4953-9C2E-B2302A17E223}" name="Commentaire FBE" dataDxfId="262" totalsRowDxfId="263"/>
    <tableColumn id="17" xr3:uid="{D9CE2245-CA19-44A0-94CC-CE702DFB5445}" name="Commentaire Yann Penverne" totalsRowFunction="count" dataDxfId="260" totalsRowDxfId="261"/>
    <tableColumn id="20" xr3:uid="{2A0BBAC6-9A77-4C1A-BA6E-777232E44EA6}" name="NexSIS" totalsRowFunction="custom" dataDxfId="258" totalsRowDxfId="259">
      <totalsRowFormula>SUBTOTAL(103,createCase2912[NexSIS])-COUNTIFS(createCase2912[NexSIS],"=X")</totalsRowFormula>
    </tableColumn>
    <tableColumn id="22" xr3:uid="{2D3A15A0-662A-48E8-A3A3-1095AE1804CC}" name="Métier" totalsRowFunction="custom" dataDxfId="256" totalsRowDxfId="257">
      <totalsRowFormula>SUBTOTAL(103,createCase2912[Métier])-COUNTIFS(createCase2912[Métier],"=X")</totalsRow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932ADEA-DC88-4A0F-8DAC-A587FD7E4148}" name="createCase29" displayName="createCase29" ref="A8:AD19" totalsRowCount="1" headerRowDxfId="231" dataDxfId="230" totalsRowDxfId="229">
  <autoFilter ref="A8:AD18" xr:uid="{3932ADEA-DC88-4A0F-8DAC-A587FD7E4148}"/>
  <tableColumns count="30">
    <tableColumn id="26" xr3:uid="{3299B1BE-9E8D-4297-8D33-E8B4E6314998}" name="ID" totalsRowFunction="count" dataDxfId="227" totalsRowDxfId="228"/>
    <tableColumn id="34" xr3:uid="{943EB1AA-FC87-47D8-9208-417FE7A33ACF}" name="Donnée (Niveau 1)" dataDxfId="225" totalsRowDxfId="226"/>
    <tableColumn id="1" xr3:uid="{9AB0B7F6-617C-49F5-8E21-C93976E9DCDA}" name="Donnée (Niveau 2)" totalsRowFunction="count" dataDxfId="223" totalsRowDxfId="224"/>
    <tableColumn id="2" xr3:uid="{A48A81EF-3C17-489D-BCD8-5B425E174DCF}" name="Donnée (Niveau 3)" totalsRowFunction="count" dataDxfId="221" totalsRowDxfId="222"/>
    <tableColumn id="3" xr3:uid="{AEF972B8-4C2B-48DE-9661-295612B8D9D4}" name="Donnée (Niveau 4)" totalsRowFunction="count" dataDxfId="219" totalsRowDxfId="220"/>
    <tableColumn id="4" xr3:uid="{3788DC23-8937-4CF6-BF8E-302839D5FFDD}" name="Donnée (Niveau 5)" totalsRowFunction="count" dataDxfId="217" totalsRowDxfId="218"/>
    <tableColumn id="5" xr3:uid="{52D81477-ABE6-4966-B95A-C02F570AE73A}" name="Donnée (Niveau 6)" totalsRowFunction="count" dataDxfId="215" totalsRowDxfId="216"/>
    <tableColumn id="6" xr3:uid="{8CBF540E-BEA4-4436-8262-A7C687CE3E2D}" name="Description" totalsRowFunction="count" dataDxfId="213" totalsRowDxfId="214"/>
    <tableColumn id="14" xr3:uid="{64D795F4-1995-494F-810E-260DF2C5085A}" name="Exemples" totalsRowFunction="count" dataDxfId="211" totalsRowDxfId="212"/>
    <tableColumn id="7" xr3:uid="{D6B3F761-7C6E-417A-9BDD-696632C9F5FF}" name="Balise NexSIS" totalsRowFunction="count" dataDxfId="209" totalsRowDxfId="210"/>
    <tableColumn id="21" xr3:uid="{9DFC9AE6-5781-4CF5-9259-45DCFD672294}" name="Nouvelle balise" totalsRowFunction="count" dataDxfId="207" totalsRowDxfId="208"/>
    <tableColumn id="8" xr3:uid="{01EECBEF-753B-4F59-99A4-4790E47E73EE}" name="Nantes - balise" totalsRowFunction="count" dataDxfId="205" totalsRowDxfId="206"/>
    <tableColumn id="15" xr3:uid="{0A856445-1DFB-47A0-8F98-1BB704EBE9BB}" name="Nantes - description" totalsRowFunction="count" dataDxfId="203" totalsRowDxfId="204"/>
    <tableColumn id="18" xr3:uid="{C7281F1D-46DF-4F03-B261-CAA071B10445}" name="GT399" totalsRowFunction="count" dataDxfId="201" totalsRowDxfId="202"/>
    <tableColumn id="9" xr3:uid="{8F75A270-1699-45B9-AEE8-46DC9C103E9A}" name="GT399 description" totalsRowFunction="count" dataDxfId="199" totalsRowDxfId="200"/>
    <tableColumn id="10" xr3:uid="{C4EF9828-8BEA-45BA-9358-37C041F8BE93}" name="Priorisation" totalsRowFunction="count" dataDxfId="197" totalsRowDxfId="198"/>
    <tableColumn id="11" xr3:uid="{C8A1EB70-9D5E-41CB-888E-94DB682F73EE}" name="Cardinalité" dataDxfId="195" totalsRowDxfId="196"/>
    <tableColumn id="27" xr3:uid="{CA1C1D4B-6AA0-4DEB-8946-D2D88578F7E3}" name="Objet" totalsRowFunction="count" dataDxfId="193" totalsRowDxfId="194"/>
    <tableColumn id="12" xr3:uid="{DE654E76-8FBA-4354-9CF8-6E6A462E6409}" name="Format (ou type)" totalsRowFunction="count" dataDxfId="191" totalsRowDxfId="192"/>
    <tableColumn id="37" xr3:uid="{C96CA3D7-42EC-4F04-A68A-7444B82822C8}" name="Nomenclature/ énumération" dataDxfId="189" totalsRowDxfId="190"/>
    <tableColumn id="31" xr3:uid="{D0A863DE-C408-4007-8ED1-035E6F8C1949}" name="Détails de format" dataDxfId="187" totalsRowDxfId="188"/>
    <tableColumn id="36" xr3:uid="{4FBDDCB5-6890-404E-AF57-163DA21D490D}" name="15-18" dataDxfId="185" totalsRowDxfId="186"/>
    <tableColumn id="35" xr3:uid="{31AA9CC8-C176-428C-BF54-6A11D6D81BB2}" name="15-15" dataDxfId="183" totalsRowDxfId="184"/>
    <tableColumn id="39" xr3:uid="{8866D17E-800C-4E85-BE99-1E028619BE67}" name="CUT" dataDxfId="181" totalsRowDxfId="182"/>
    <tableColumn id="19" xr3:uid="{89AE86E7-D981-4E55-B036-1545CE5A0149}" name="Commentaire Hub Santé" totalsRowFunction="count" dataDxfId="179" totalsRowDxfId="180"/>
    <tableColumn id="16" xr3:uid="{ACDAA173-B451-4B80-A3E5-E5A1D928393F}" name="Commentaire Philippe Dreyfus" totalsRowFunction="count" dataDxfId="177" totalsRowDxfId="178"/>
    <tableColumn id="33" xr3:uid="{9B4758BD-1388-4079-8A50-1F8C39538EDF}" name="Commentaire FBE" dataDxfId="175" totalsRowDxfId="176"/>
    <tableColumn id="17" xr3:uid="{BF13D23C-C019-4EEE-96CD-540F8E568157}" name="Commentaire Yann Penverne" totalsRowFunction="count" dataDxfId="173" totalsRowDxfId="174"/>
    <tableColumn id="20" xr3:uid="{CA95465C-6ED7-43BD-96F7-66CA68FFA6DF}" name="NexSIS" totalsRowFunction="custom" dataDxfId="171" totalsRowDxfId="172">
      <totalsRowFormula>SUBTOTAL(103,createCase29[NexSIS])-COUNTIFS(createCase29[NexSIS],"=X")</totalsRowFormula>
    </tableColumn>
    <tableColumn id="22" xr3:uid="{A91321AB-D5A1-492C-80AF-94204824579D}" name="Métier" totalsRowFunction="custom" dataDxfId="169" totalsRowDxfId="170">
      <totalsRowFormula>SUBTOTAL(103,createCase29[Métier])-COUNTIFS(createCase29[Métier],"=X")</totalsRow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F68223-2157-47F6-9133-264D671F0942}" name="Tableau3" displayName="Tableau3" ref="A8:W24" totalsRowCount="1" totalsRowDxfId="168">
  <autoFilter ref="A8:W23" xr:uid="{EEF68223-2157-47F6-9133-264D671F0942}"/>
  <tableColumns count="23">
    <tableColumn id="1" xr3:uid="{0308532B-296F-49D7-B76E-23948A2F1FAE}" name="ID" totalsRowFunction="count" dataDxfId="166" totalsRowDxfId="167"/>
    <tableColumn id="2" xr3:uid="{4E5CA3CD-74C0-41D7-A064-93B29A44F6EA}" name="Donnée (Niveau 1)" totalsRowFunction="custom" dataDxfId="164" totalsRowDxfId="165">
      <totalsRowFormula>SUBTOTAL(103,Tableau3[Donnée (Niveau 1)])</totalsRowFormula>
    </tableColumn>
    <tableColumn id="3" xr3:uid="{099F4D11-28E8-482A-B443-FA0B35F69A5A}" name="Donnée (Niveau 2)" totalsRowFunction="custom" dataDxfId="162" totalsRowDxfId="163">
      <totalsRowFormula>SUBTOTAL(103,Tableau3[Donnée (Niveau 2)])</totalsRowFormula>
    </tableColumn>
    <tableColumn id="4" xr3:uid="{894FFF8F-C344-436B-8995-6D977D9EE845}" name="Donnée (Niveau 3)" totalsRowFunction="custom" dataDxfId="160" totalsRowDxfId="161">
      <totalsRowFormula>SUBTOTAL(103,Tableau3[Donnée (Niveau 3)])</totalsRowFormula>
    </tableColumn>
    <tableColumn id="5" xr3:uid="{AB815DDF-5ECF-4083-A621-45835C8FE42C}" name="Donnée (Niveau 4)" totalsRowFunction="custom" dataDxfId="158" totalsRowDxfId="159">
      <totalsRowFormula>SUBTOTAL(103,Tableau3[Donnée (Niveau 4)])</totalsRowFormula>
    </tableColumn>
    <tableColumn id="6" xr3:uid="{20F05C10-E73C-4ECE-95CB-368439F635A4}" name="Donnée (Niveau 5)" totalsRowFunction="custom" dataDxfId="156" totalsRowDxfId="157">
      <totalsRowFormula>SUBTOTAL(103,Tableau3[Donnée (Niveau 5)])</totalsRowFormula>
    </tableColumn>
    <tableColumn id="7" xr3:uid="{CD2D80B3-AFB4-4A43-A25F-9936020F0A33}" name="Donnée (Niveau 6)" totalsRowFunction="custom" dataDxfId="154" totalsRowDxfId="155">
      <totalsRowFormula>SUBTOTAL(103,Tableau3[Donnée (Niveau 6)])</totalsRowFormula>
    </tableColumn>
    <tableColumn id="8" xr3:uid="{6D534A97-72D3-4D26-ACDA-1E36EFF5A5D1}" name="Description" totalsRowFunction="custom" totalsRowDxfId="153">
      <totalsRowFormula>SUBTOTAL(103,Tableau3[Description])</totalsRowFormula>
    </tableColumn>
    <tableColumn id="9" xr3:uid="{1C7F0F41-E26E-4A31-99F7-36DA6F587FD4}" name="Exemples" totalsRowFunction="custom" totalsRowDxfId="152">
      <totalsRowFormula>SUBTOTAL(103,Tableau3[Exemples])</totalsRowFormula>
    </tableColumn>
    <tableColumn id="10" xr3:uid="{16E03419-7018-452F-85C4-FD235A5FD831}" name="Balise NexSIS" totalsRowFunction="custom" totalsRowDxfId="151">
      <totalsRowFormula>SUBTOTAL(103,Tableau3[Balise NexSIS])</totalsRowFormula>
    </tableColumn>
    <tableColumn id="11" xr3:uid="{B07E8B63-480E-4E4D-B3C9-5480DBD4EBFD}" name="Nouvelle balise" totalsRowFunction="custom" totalsRowDxfId="150">
      <totalsRowFormula>SUBTOTAL(103,Tableau3[Nouvelle balise])</totalsRowFormula>
    </tableColumn>
    <tableColumn id="12" xr3:uid="{580E514F-043D-4789-9329-386B22D4622D}" name="Nantes - balise" totalsRowFunction="custom" totalsRowDxfId="149">
      <totalsRowFormula>SUBTOTAL(103,Tableau3[Nantes - balise])</totalsRowFormula>
    </tableColumn>
    <tableColumn id="13" xr3:uid="{0C60FD75-9B70-4899-B643-430300539392}" name="Nantes - description" totalsRowFunction="custom" totalsRowDxfId="148">
      <totalsRowFormula>SUBTOTAL(103,Tableau3[Nantes - description])</totalsRowFormula>
    </tableColumn>
    <tableColumn id="14" xr3:uid="{A80B0132-E4A5-41BF-9151-A57B2C45E16D}" name="GT399" totalsRowFunction="custom" totalsRowDxfId="147">
      <totalsRowFormula>SUBTOTAL(103,Tableau3[GT399])</totalsRowFormula>
    </tableColumn>
    <tableColumn id="15" xr3:uid="{8E187925-974B-4A24-81D7-AB82144912F1}" name="GT399 description" totalsRowFunction="custom" totalsRowDxfId="146">
      <totalsRowFormula>SUBTOTAL(103,Tableau3[GT399 description])</totalsRowFormula>
    </tableColumn>
    <tableColumn id="16" xr3:uid="{42F38D08-76CB-4B3A-A731-4207FB6FBE23}" name="Priorisation" totalsRowFunction="custom" totalsRowDxfId="145">
      <totalsRowFormula>SUBTOTAL(103,Tableau3[Priorisation])</totalsRowFormula>
    </tableColumn>
    <tableColumn id="17" xr3:uid="{9F68F1ED-1480-436C-8BC5-AA551A9025A4}" name="Cardinalité" totalsRowFunction="custom" dataDxfId="143" totalsRowDxfId="144">
      <totalsRowFormula>SUBTOTAL(103,Tableau3[Cardinalité])</totalsRowFormula>
    </tableColumn>
    <tableColumn id="18" xr3:uid="{8D71687D-B67F-4FBE-A91C-E3D7AF1CF7CE}" name="Objet" totalsRowFunction="custom" dataDxfId="141" totalsRowDxfId="142">
      <totalsRowFormula>SUBTOTAL(103,Tableau3[Objet])</totalsRowFormula>
    </tableColumn>
    <tableColumn id="19" xr3:uid="{3997D7F5-733D-4A1D-97E2-3BDAED2B9FE3}" name="Format (ou type)" totalsRowFunction="custom" dataDxfId="139" totalsRowDxfId="140">
      <totalsRowFormula>SUBTOTAL(103,Tableau3[Format (ou type)])</totalsRowFormula>
    </tableColumn>
    <tableColumn id="20" xr3:uid="{33562809-70DE-436A-940D-49F45D5F14A8}" name="Nomenclature/ énumération" totalsRowFunction="custom" totalsRowDxfId="138">
      <totalsRowFormula>SUBTOTAL(103,Tableau3[Nomenclature/ énumération])</totalsRowFormula>
    </tableColumn>
    <tableColumn id="21" xr3:uid="{0FBF9953-AE08-41BF-9CDE-EA27950F10D4}" name="Détails de format" totalsRowFunction="custom" totalsRowDxfId="137">
      <totalsRowFormula>SUBTOTAL(103,Tableau3[Détails de format])</totalsRowFormula>
    </tableColumn>
    <tableColumn id="22" xr3:uid="{9F868D8D-588A-4128-8291-ABF86AE38F9A}" name="15-18" totalsRowFunction="custom" dataDxfId="135" totalsRowDxfId="136">
      <totalsRowFormula>SUBTOTAL(103,Tableau3[15-18])</totalsRowFormula>
    </tableColumn>
    <tableColumn id="23" xr3:uid="{87B18F95-525A-4A9B-860F-C7A99278233D}" name="15-15" totalsRowFunction="custom" dataDxfId="133" totalsRowDxfId="134">
      <totalsRowFormula>SUBTOTAL(103,Tableau3[15-15])</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10.xml><?xml version="1.0" encoding="utf-8"?>
<ThreadedComments xmlns="http://schemas.microsoft.com/office/spreadsheetml/2018/threadedcomments" xmlns:x="http://schemas.openxmlformats.org/spreadsheetml/2006/main">
  <threadedComment ref="H1" dT="2023-09-21T15:05:23.74" personId="{C9A89B3A-A5FD-6849-8E65-1CD4E6C7CFF2}" id="{98187B6F-EF48-440E-BF9B-5E9169C4DB80}" done="1">
    <text>Valider avec NexSIS les noms des balises racines !! (message, createCase, emsi)</text>
  </threadedComment>
  <threadedComment ref="B8" dT="2023-10-17T14:10:14.10" personId="{C9A89B3A-A5FD-6849-8E65-1CD4E6C7CFF2}" id="{AFB21D1F-30FE-4C4B-ABC7-9BC7E69C97E1}">
    <text xml:space="preserve">Le champs de ‘signalement’ a été supprimé finalement ? </text>
  </threadedComment>
  <threadedComment ref="B8" dT="2023-10-23T11:26:27.60" personId="{C9A89B3A-A5FD-6849-8E65-1CD4E6C7CFF2}" id="{D13A69C3-EC32-4BCC-995D-70D2738EA266}" parentId="{AFB21D1F-30FE-4C4B-ABC7-9BC7E69C97E1}">
    <text>Ajouter un champs de statut local global du dossier ? Ou message de clôture ? Ou règle "après 24h clôt" ?</text>
  </threadedComment>
  <threadedComment ref="B8" dT="2023-11-08T13:34:34.60" personId="{ABFB0C52-AC18-4406-B6D7-B9BCF5A2A0D7}" id="{708C7B62-23C3-4EF6-BB38-7226ECDCA72F}" parentId="{AFB21D1F-30FE-4C4B-ABC7-9BC7E69C97E1}">
    <text>A traiter avec NexSIS. Pour l'instant obligé de passer par un RC-EDA pour la gestion du statut</text>
  </threadedComment>
</ThreadedComments>
</file>

<file path=xl/threadedComments/threadedComment11.xml><?xml version="1.0" encoding="utf-8"?>
<ThreadedComments xmlns="http://schemas.microsoft.com/office/spreadsheetml/2018/threadedcomments" xmlns:x="http://schemas.openxmlformats.org/spreadsheetml/2006/main">
  <threadedComment ref="H1" dT="2023-09-21T15:05:23.74" personId="{C9A89B3A-A5FD-6849-8E65-1CD4E6C7CFF2}" id="{594A1221-B789-4562-BB7C-27B8542B3E89}" done="1">
    <text>Valider avec NexSIS les noms des balises racines !! (message, createCase, emsi)</text>
  </threadedComment>
  <threadedComment ref="B8" dT="2023-10-17T14:10:14.10" personId="{C9A89B3A-A5FD-6849-8E65-1CD4E6C7CFF2}" id="{CF7C05A2-B923-4A06-82D8-BBE44ED40502}">
    <text xml:space="preserve">Le champs de ‘signalement’ a été supprimé finalement ? </text>
  </threadedComment>
  <threadedComment ref="B8" dT="2023-10-23T11:26:27.60" personId="{C9A89B3A-A5FD-6849-8E65-1CD4E6C7CFF2}" id="{CB9FEFC6-BFD5-4229-94F5-1B236D4699B3}" parentId="{CF7C05A2-B923-4A06-82D8-BBE44ED40502}">
    <text>Ajouter un champs de statut local global du dossier ? Ou message de clôture ? Ou règle "après 24h clôt" ?</text>
  </threadedComment>
  <threadedComment ref="B8" dT="2023-11-08T13:34:34.60" personId="{ABFB0C52-AC18-4406-B6D7-B9BCF5A2A0D7}" id="{E82829CE-2239-47E6-B7EF-85EF3694A944}" parentId="{CF7C05A2-B923-4A06-82D8-BBE44ED40502}">
    <text>A traiter avec NexSIS. Pour l'instant obligé de passer par un RC-EDA pour la gestion du statut</text>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014C0F-4DE7-B347-9D64-1A6DDC429318}" done="1">
    <text>Valider avec NexSIS les noms des balises racines !! (message, createCase, emsi)</text>
  </threadedComment>
  <threadedComment ref="B8" dT="2023-10-17T14:10:14.10" personId="{C9A89B3A-A5FD-6849-8E65-1CD4E6C7CFF2}" id="{B22E257A-7C89-1E4C-AF78-F478ABBC4BE6}">
    <text xml:space="preserve">Le champs de ‘signalement’ a été supprimé finalement ? </text>
  </threadedComment>
  <threadedComment ref="B8" dT="2023-10-23T11:26:27.60" personId="{C9A89B3A-A5FD-6849-8E65-1CD4E6C7CFF2}" id="{C42258A9-561A-7048-AD69-48FA95898DE0}" parentId="{B22E257A-7C89-1E4C-AF78-F478ABBC4BE6}">
    <text>Ajouter un champs de statut local global du dossier ? Ou message de clôture ? Ou règle "après 24h clôt" ?</text>
  </threadedComment>
  <threadedComment ref="B8" dT="2023-11-08T13:34:34.60" personId="{ABFB0C52-AC18-4406-B6D7-B9BCF5A2A0D7}" id="{40560835-FF05-334B-B995-A0B0DEDE0450}" parentId="{B22E257A-7C89-1E4C-AF78-F478ABBC4BE6}">
    <text>A traiter avec NexSIS. Pour l'instant obligé de passer par un RC-EDA pour la gestion du statut</text>
  </threadedComment>
  <threadedComment ref="C14" dT="2024-03-28T15:29:48.96" personId="{15E60E5B-8F12-4B01-8E2A-D3C877CDBAC1}" id="{0E9809E8-02C2-334A-8405-BA74B7E23FD3}">
    <text>Main courante des ARM =&gt; liste</text>
  </threadedComment>
  <threadedComment ref="C22" dT="2024-03-28T15:12:36.27" personId="{15E60E5B-8F12-4B01-8E2A-D3C877CDBAC1}" id="{F8C90623-E217-A249-8228-32B78C0B6D10}">
    <text>Motif ARM</text>
  </threadedComment>
  <threadedComment ref="C22" dT="2024-03-28T15:12:44.19" personId="{15E60E5B-8F12-4B01-8E2A-D3C877CDBAC1}" id="{90E23430-81C1-D049-87D7-FCEE13234FA8}" parentId="{F8C90623-E217-A249-8228-32B78C0B6D10}">
    <text>Différent de celui médecin</text>
  </threadedComment>
  <threadedComment ref="D42" dT="2024-03-28T15:43:47.91" personId="{15E60E5B-8F12-4B01-8E2A-D3C877CDBAC1}" id="{1BD69032-5101-864A-999F-46821FFFF5C3}">
    <text>Exos gère pas les PK comme ça !</text>
  </threadedComment>
  <threadedComment ref="D42" dT="2024-03-28T15:44:06.37" personId="{15E60E5B-8F12-4B01-8E2A-D3C877CDBAC1}" id="{B38E39D9-1564-9D4E-80C6-EF7C7D0509DC}" parentId="{1BD69032-5101-864A-999F-46821FFFF5C3}">
    <text>Sujet sur l’autoroute… comment on passe cette localisation (pas d’adresse)</text>
  </threadedComment>
  <threadedComment ref="D50" dT="2024-03-28T15:42:07.84" personId="{15E60E5B-8F12-4B01-8E2A-D3C877CDBAC1}" id="{2489F405-4C44-8449-A27E-F93D38CE0D60}">
    <text>Lieu dit ?</text>
  </threadedComment>
  <threadedComment ref="C78" dT="2024-03-28T15:43:04.71" personId="{15E60E5B-8F12-4B01-8E2A-D3C877CDBAC1}" id="{9E5B6CE6-3E96-6149-B0D6-01815EF4B873}">
    <text>Champs libre de précision sur adresse</text>
  </threadedComment>
  <threadedComment ref="C84" dT="2024-03-28T15:27:12.86" personId="{15E60E5B-8F12-4B01-8E2A-D3C877CDBAC1}" id="{2B8BB2A4-9702-1D4E-BAEF-A1B69F6DE713}">
    <text>Exos a une liste de numéros avec en champs libre pour le type + un “numéro principal”</text>
  </threadedComment>
  <threadedComment ref="B161" dT="2024-03-28T15:39:50.94" personId="{15E60E5B-8F12-4B01-8E2A-D3C877CDBAC1}" id="{A66E3E6D-9F7B-F44D-A65C-D48ED818FC6A}">
    <text>Hors du périmètre Appel Limitrophe</text>
  </threadedComment>
  <threadedComment ref="B161" dT="2024-03-28T15:40:29.55" personId="{15E60E5B-8F12-4B01-8E2A-D3C877CDBAC1}" id="{83F2D502-844F-AB43-B0F2-35E9A9E8B9AD}" parentId="{A66E3E6D-9F7B-F44D-A65C-D48ED818FC6A}">
    <text>A voir… Car ça permet de mettre dans le même cas d’embrayer sur la demande d’engagement de vecteur du SMAU d’en face</text>
  </threadedComment>
  <threadedComment ref="B161" dT="2024-03-28T15:41:27.88" personId="{15E60E5B-8F12-4B01-8E2A-D3C877CDBAC1}" id="{1EFEE76B-F760-9D40-9162-1DCE4B9001BA}" parentId="{A66E3E6D-9F7B-F44D-A65C-D48ED818FC6A}">
    <text>Liste de textes libres déjà pour le moment</text>
  </threadedComment>
  <threadedComment ref="B169" dT="2024-03-28T15:39:05.51" personId="{15E60E5B-8F12-4B01-8E2A-D3C877CDBAC1}" id="{93228C0F-E002-1841-8521-E10D663289D9}">
    <text>A rediscuter !!! Mais au de la de la création</text>
  </threadedComment>
  <threadedComment ref="C172" dT="2024-03-28T15:38:48.42" personId="{15E60E5B-8F12-4B01-8E2A-D3C877CDBAC1}" id="{53EA6CEE-A8CD-3A4D-8A1F-0F029B5B6266}">
    <text>Pompiers ont 2 missions : aller au chevet + faire transport.
Mais donc pas adapté…</text>
  </threadedComment>
</ThreadedComments>
</file>

<file path=xl/threadedComments/threadedComment5.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S14" dT="2024-02-13T08:52:55.35" personId="{15E60E5B-8F12-4B01-8E2A-D3C877CDBAC1}" id="{80848A42-0F14-B24F-8D04-3043FFD08495}">
    <text>Format : codeLabelComment
Détails : référence vers la nomenclature
Type Java : name</text>
  </threadedComment>
  <threadedComment ref="U15" dT="2023-12-20T16:35:01.71" personId="{9D129102-2382-4ACD-99FE-0A45F267AA1A}" id="{D4A6E809-E116-4F43-AB47-04D882212A95}">
    <text>NOMENCLATURE: CISU-Code_Nature_de_fait</text>
  </threadedComment>
  <threadedComment ref="U18" dT="2023-12-20T16:35:44.18" personId="{9D129102-2382-4ACD-99FE-0A45F267AA1A}" id="{309DA0AD-08A5-48B1-8181-1F2CF88AD9D6}">
    <text>Voir nomenclature CISU Type de Lieu</text>
  </threadedComment>
  <threadedComment ref="U19" dT="2023-12-20T16:36:14.68" personId="{9D129102-2382-4ACD-99FE-0A45F267AA1A}" id="{69DA961E-023F-4CCC-87B8-5E0165FCFF9B}">
    <text>Voir nomenclature CISU Risque, menace et sensibilité</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done="1">
    <text>Du coup oui c'est par patient, mais c'est pas forcément ce que les SAMU notent comme étant le motif d'intervention = nature de fait ?  Ou autre chose ?</text>
  </threadedComment>
  <threadedComment ref="U20" dT="2023-12-20T16:36:51.39" personId="{9D129102-2382-4ACD-99FE-0A45F267AA1A}" id="{1B18AEB3-0A07-4B62-BA73-C6715D37DD3F}" parentId="{5B87F3E0-42AE-40C0-BFFC-2EB08FD229EA}">
    <text>Voir nomenclature CISU Motif de recours médico-secouriste</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K21" dT="2023-12-21T16:51:07.27" personId="{C9A89B3A-A5FD-6849-8E65-1CD4E6C7CFF2}" id="{21F0D62A-A239-794F-8300-5B191BC3F425}">
    <text>J’ai migré tous les champs dans case.details, ça te semble OK ?</text>
  </threadedComment>
  <threadedComment ref="U22" dT="2023-11-23T09:09:36.07" personId="{E9A6DF60-F9B3-4BD0-BB8A-DE1D37E26830}" id="{0CF29C07-A470-4C7E-BB1B-C82F21208545}">
    <text>Juste une énumération pour l'instant, pas de nomenclature dispo.</text>
  </threadedComment>
  <threadedComment ref="K24" dT="2023-12-21T16:52:13.97" personId="{C9A89B3A-A5FD-6849-8E65-1CD4E6C7CFF2}" id="{671673A3-61CA-394E-94B2-4C7157E8A6A7}">
    <text>J’ai du mal à voir si les LRM où ont vraiment cette info !</text>
  </threadedComment>
  <threadedComment ref="U24" dT="2024-01-23T14:26:41.32" personId="{E9A6DF60-F9B3-4BD0-BB8A-DE1D37E26830}" id="{3163C301-BF45-42AC-9B93-9FA29CCC4160}">
    <text>Nomenclature SI-SAMU DEVENIRD</text>
  </threadedComment>
  <threadedComment ref="D25" dT="2023-12-13T14:39:37.97" personId="{E9A6DF60-F9B3-4BD0-BB8A-DE1D37E26830}" id="{E4B924E1-C80E-F54A-9F2A-990A48DF3558}">
    <text>L'info est-elle obligatoire pou les échanges 15-15</text>
  </threadedComment>
  <threadedComment ref="K25" dT="2023-12-21T16:52:53.15" personId="{C9A89B3A-A5FD-6849-8E65-1CD4E6C7CFF2}" id="{C836823B-BC8E-C84B-B7B0-FDAB5856DC4B}">
    <text>Les P c’est les priorités ARM normalement, les propriétés de régulation médicales c’est les R1, R2, … non ? Est-ce qu’on passe que les P ? On passe les autres aussi ?</text>
  </threadedComment>
  <threadedComment ref="U25" dT="2024-01-23T14:29:06.44" personId="{E9A6DF60-F9B3-4BD0-BB8A-DE1D37E26830}" id="{F63CD7B6-7D33-47AE-8986-700F3EE32D5A}">
    <text>Nomenclature PRIORITE (fichier SI-SAMU envoyé par Philippe)</text>
  </threadedComment>
  <threadedComment ref="U27" dT="2023-11-30T14:37:38.83" personId="{C9A89B3A-A5FD-6849-8E65-1CD4E6C7CFF2}" id="{A2629A30-8579-B745-804F-8D68CAC27551}">
    <text>NexSIS propose de rajouter UNKNOWN</text>
  </threadedComment>
  <threadedComment ref="U27"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U27" dT="2024-03-06T09:05:48.56" personId="{E9A6DF60-F9B3-4BD0-BB8A-DE1D37E26830}" id="{15526BA8-4C0D-4313-AA89-DB8DA96392BD}" parentId="{A2629A30-8579-B745-804F-8D68CAC27551}">
    <text>Implémenter la nomenclature CISU/SI SAMU prévue ?</text>
  </threadedComment>
  <threadedComment ref="C32"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2" dT="2023-11-06T17:45:16.48" personId="{ABFB0C52-AC18-4406-B6D7-B9BCF5A2A0D7}" id="{CB35003D-B559-4C2C-B525-CBD55DFD6D30}" parentId="{85B1EF9F-47F0-CE46-887A-E909D7720A3B}">
    <text>fait</text>
  </threadedComment>
  <threadedComment ref="S32" dT="2023-10-06T15:52:24.74" personId="{6D908C62-98CE-5042-81E4-8ACAD1B880FE}" id="{3B2E0936-494B-B445-A636-D7FDBB9167D5}" done="1">
    <text>Nader veut passer le nombre max de caractères de 80 à 255</text>
  </threadedComment>
  <threadedComment ref="C33" dT="2023-10-31T09:38:04.74" personId="{ABFB0C52-AC18-4406-B6D7-B9BCF5A2A0D7}" id="{925BDB3E-FDC8-4AE9-BBEA-7ACEF4FDDB2C}">
    <text>Revu avec NexSIS =&gt; à passer en optionnel</text>
  </threadedComment>
  <threadedComment ref="C33" dT="2023-11-08T13:43:03.47" personId="{ABFB0C52-AC18-4406-B6D7-B9BCF5A2A0D7}" id="{D4536E1A-F569-483C-9E68-8149326DCE2D}" parentId="{925BDB3E-FDC8-4AE9-BBEA-7ACEF4FDDB2C}">
    <text>A voir avec NexSIS</text>
  </threadedComment>
  <threadedComment ref="C33"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3" dT="2023-11-06T12:45:17.60" personId="{E9A6DF60-F9B3-4BD0-BB8A-DE1D37E26830}" id="{8AEC1623-DDE1-47FA-B84D-C6A42BA263BB}" done="1">
    <text>Ici il faut mettre uniquement le nom du lieu. Lieu-dit / quartier et le reste vont dans compléments de commune</text>
  </threadedComment>
  <threadedComment ref="H33" dT="2023-11-06T12:54:13.77" personId="{E9A6DF60-F9B3-4BD0-BB8A-DE1D37E26830}" id="{BA23A14C-1B94-4147-B3A7-F4DE0375E586}" parentId="{8AEC1623-DDE1-47FA-B84D-C6A42BA263BB}">
    <text>Lac / foret sont plutôt des types de lieu ? Sauf si spécifique, par exemple Foret de Fontainebleau</text>
  </threadedComment>
  <threadedComment ref="U35" dT="2024-03-22T14:10:43.40" personId="{E9A6DF60-F9B3-4BD0-BB8A-DE1D37E26830}" id="{0CFF5582-9153-4C81-BF2B-0E3E475CB201}">
    <text>Voir pour compléter cette liste ?</text>
  </threadedComment>
  <threadedComment ref="D44"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4"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4"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4" dT="2023-06-15T08:20:05.47" personId="{C9A89B3A-A5FD-6849-8E65-1CD4E6C7CFF2}" id="{62D969EF-9883-4543-B543-50F15B16ED43}" parentId="{8DE310B9-0615-45CC-A644-35176EC52B6C}">
    <text>Rq : lieu-dits permettent aussi de séparer 2 rives</text>
  </threadedComment>
  <threadedComment ref="D44"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4" dT="2023-06-15T08:21:45.68" personId="{C9A89B3A-A5FD-6849-8E65-1CD4E6C7CFF2}" id="{29E0E845-8D17-4F32-BBCA-3117A62A82CF}" parentId="{8DE310B9-0615-45CC-A644-35176EC52B6C}">
    <text>Pas sûr qu'on puisse les exploiter...</text>
  </threadedComment>
  <threadedComment ref="D44" dT="2023-06-15T08:22:12.60" personId="{C9A89B3A-A5FD-6849-8E65-1CD4E6C7CFF2}" id="{E22B87A0-3BCA-4E15-AB4D-3E7D7E799EF9}" parentId="{8DE310B9-0615-45CC-A644-35176EC52B6C}">
    <text xml:space="preserve">Autoroute dans un sens = 1 commune et lieu-dits pour les tronçons </text>
  </threadedComment>
  <threadedComment ref="D44"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4" dT="2023-06-15T08:23:09.21" personId="{C9A89B3A-A5FD-6849-8E65-1CD4E6C7CFF2}" id="{3CC5A5F7-7E87-4EEE-8B8C-05E635D40FC7}" parentId="{8DE310B9-0615-45CC-A644-35176EC52B6C}">
    <text>Pas de dictionnaire opérationnel commun...</text>
  </threadedComment>
  <threadedComment ref="D44"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8"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8" dT="2023-09-21T08:26:59.23" personId="{ABFB0C52-AC18-4406-B6D7-B9BCF5A2A0D7}" id="{DADC5CF8-F488-411A-AE3B-4C5106A577E2}" parentId="{49FC8FAC-1BAF-45B2-887C-3878DB0CEBFB}">
    <text>On peut limiter le nombre de détails à 20 par exemple</text>
  </threadedComment>
  <threadedComment ref="D57" dT="2023-11-28T09:23:33.55" personId="{E9A6DF60-F9B3-4BD0-BB8A-DE1D37E26830}" id="{8B068B41-6738-4D89-AE95-7DBE47687C8B}">
    <text xml:space="preserve">Faut-il utiliser un autre objet, déjà existant ? </text>
  </threadedComment>
  <threadedComment ref="Q60" dT="2023-10-26T21:36:55.27" personId="{C9A89B3A-A5FD-6849-8E65-1CD4E6C7CFF2}" id="{82E4F400-D3A9-2343-9417-D338A272253E}" done="1">
    <text>Nécessaire de le passer obligatoire pour NexSIS (retour Scriptal) ?</text>
  </threadedComment>
  <threadedComment ref="H68" dT="2023-06-15T08:29:05.80" personId="{C9A89B3A-A5FD-6849-8E65-1CD4E6C7CFF2}" id="{4ED4D63E-99DA-4C40-8B3F-74484A91486A}" done="1">
    <text>Pourquoi passer par EPSG-4326 et pas dire WGS-84 direct ?</text>
  </threadedComment>
  <threadedComment ref="H68" dT="2023-06-15T08:29:45.24" personId="{C9A89B3A-A5FD-6849-8E65-1CD4E6C7CFF2}" id="{7B030752-5833-4DC9-AD05-3BBB102E62CA}" parentId="{4ED4D63E-99DA-4C40-8B3F-74484A91486A}">
    <text>WGS système de projection et EPSG système de coordonnées ?</text>
  </threadedComment>
  <threadedComment ref="D69" dT="2023-09-21T18:09:18.83" personId="{ABFB0C52-AC18-4406-B6D7-B9BCF5A2A0D7}" id="{F2C29A76-9B08-4696-A7FF-552A24CA01B1}">
    <text xml:space="preserve">En attente précision NexSIS
</text>
  </threadedComment>
  <threadedComment ref="H69" dT="2023-11-06T15:00:23.61" personId="{ABFB0C52-AC18-4406-B6D7-B9BCF5A2A0D7}" id="{A443D7D1-FE76-42EE-B140-98BBD5AEDCB9}">
    <text>Attention, pas d'équivalent strict du GML en json</text>
  </threadedComment>
  <threadedComment ref="S69" dT="2023-09-15T20:46:47.38" personId="{C9A89B3A-A5FD-6849-8E65-1CD4E6C7CFF2}" id="{44161FD7-DA29-2241-8A73-168E646C6F3C}">
    <text>Pourquoi est-ce une string ?</text>
  </threadedComment>
  <threadedComment ref="S69" dT="2023-09-19T08:55:24.63" personId="{ABFB0C52-AC18-4406-B6D7-B9BCF5A2A0D7}" id="{C4FA73F1-A3E9-4362-B6DA-8609738BA1A7}" parentId="{44161FD7-DA29-2241-8A73-168E646C6F3C}">
    <text>À confirmer avec NexSIS, est-ce qu'on passe bien un fichier .sketch via une string ?</text>
  </threadedComment>
  <threadedComment ref="S69" dT="2023-10-11T16:20:12.31" personId="{ABFB0C52-AC18-4406-B6D7-B9BCF5A2A0D7}" id="{0ABDFDBF-CB19-4FD4-B295-E323559D0024}" parentId="{44161FD7-DA29-2241-8A73-168E646C6F3C}">
    <text>En attente exemple NexSIS</text>
  </threadedComment>
  <threadedComment ref="D70"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70"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70"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71" dT="2023-11-08T13:56:26.21" personId="{ABFB0C52-AC18-4406-B6D7-B9BCF5A2A0D7}" id="{82723964-123F-464F-AC6E-1559C240D31E}">
    <text>Vraiment une enum ?</text>
  </threadedComment>
  <threadedComment ref="C74" dT="2024-03-26T16:28:29.15" personId="{C9A89B3A-A5FD-6849-8E65-1CD4E6C7CFF2}" id="{7BED2FAB-053B-044B-A4B2-EA939D9441D5}">
    <text>A enlever car géré dans le code INSEE -&gt; le spécifier dans la description de la balise du code INSEE</text>
  </threadedComment>
  <threadedComment ref="C74" dT="2024-03-26T16:29:50.91" personId="{C9A89B3A-A5FD-6849-8E65-1CD4E6C7CFF2}" id="{BFF9CC2C-E454-FC4D-83AA-267C05549E2E}" parentId="{7BED2FAB-053B-044B-A4B2-EA939D9441D5}">
    <text>Etranger : 99 + code pays https://medecine.univ-lorraine.fr/sites/medecine.univ-lorraine.fr/files/users/DU_DIU/03_codes_pays.pdf</text>
  </threadedComment>
  <threadedComment ref="H74" dT="2023-09-21T10:47:24.82" personId="{ABFB0C52-AC18-4406-B6D7-B9BCF5A2A0D7}" id="{F6DBF483-4352-48F3-A605-280A47B8FAE1}" done="1">
    <text>Voir si il y'a une nomenclature NexSIS</text>
  </threadedComment>
  <threadedComment ref="H74" dT="2023-10-11T16:20:34.55" personId="{ABFB0C52-AC18-4406-B6D7-B9BCF5A2A0D7}" id="{3D1BFA56-129F-4F59-AEC8-B2129F29C6DE}" parentId="{F6DBF483-4352-48F3-A605-280A47B8FAE1}">
    <text>=&gt; se rapprocher d'ISO</text>
  </threadedComment>
  <threadedComment ref="B76"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6"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6"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6"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6" dT="2023-09-22T09:00:11.92" personId="{C9A89B3A-A5FD-6849-8E65-1CD4E6C7CFF2}" id="{E4DBF580-F695-1240-B403-399ED7FC597D}" parentId="{36EBE513-9CB4-3348-B010-D39B51DF2455}">
    <text>-&gt; Dans tous les cas, les LRM doivent prendre la plus récente !</text>
  </threadedComment>
  <threadedComment ref="Q76"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6" dT="2023-09-22T09:03:47.31" personId="{C9A89B3A-A5FD-6849-8E65-1CD4E6C7CFF2}" id="{864DEDA1-82F2-BE42-883E-A0DE68C6DABF}" parentId="{36EBE513-9CB4-3348-B010-D39B51DF2455}">
    <text>Nader creuse le sujet côté NexSIS pour voir comment c’est fait / modifiable côté NexSIS</text>
  </threadedComment>
  <threadedComment ref="Q76"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7" dT="2023-09-21T09:46:56.60" personId="{ABFB0C52-AC18-4406-B6D7-B9BCF5A2A0D7}" id="{2185076E-A743-4FEC-950F-43630CD6417E}" done="1">
    <text>REGEX à définir</text>
  </threadedComment>
  <threadedComment ref="Q77" dT="2023-10-16T11:55:16.89" personId="{C9A89B3A-A5FD-6849-8E65-1CD4E6C7CFF2}" id="{2A6A195C-5D26-FA4B-91BD-34DAEC1D051C}" done="1">
    <text>Pas vraiment géré côté Santé, possible de passer la cardinalité à 0..1 ?</text>
  </threadedComment>
  <threadedComment ref="C78" dT="2023-09-22T09:00:43.88" personId="{ABFB0C52-AC18-4406-B6D7-B9BCF5A2A0D7}" id="{C5B6241A-BACF-47B3-9FCB-3D62B0208AEB}" done="1">
    <text>Pour savoir quelle alerte utiliser dans une affaire :
=&gt; Regarder cette date de réception</text>
  </threadedComment>
  <threadedComment ref="D80" dT="2023-07-03T14:32:04.26" personId="{6D908C62-98CE-5042-81E4-8ACAD1B880FE}" id="{849D9658-5404-49CC-A650-D8E23CF68C04}">
    <text>Comment on gère le fait que des informations médicales et personnelles peuvent être saisies dans ce champs par le SAMU</text>
  </threadedComment>
  <threadedComment ref="D80" dT="2023-09-25T11:53:05.92" personId="{C9A89B3A-A5FD-6849-8E65-1CD4E6C7CFF2}" id="{7E857887-808A-2345-B2BE-7D90DB86AB49}" parentId="{849D9658-5404-49CC-A650-D8E23CF68C04}">
    <text>Quelle politique HDS côté NexSIS ?</text>
  </threadedComment>
  <threadedComment ref="J80" dT="2023-09-21T09:49:59.10" personId="{ABFB0C52-AC18-4406-B6D7-B9BCF5A2A0D7}" id="{6A447ED8-B3D9-4E56-96E2-F03AE558F91D}" done="1">
    <text>Passer tous les champs dans un style freetext avec un label freetext</text>
  </threadedComment>
  <threadedComment ref="H82" dT="2023-09-20T13:13:53.48" personId="{ABFB0C52-AC18-4406-B6D7-B9BCF5A2A0D7}" id="{1045B670-B272-44B0-BDBC-183806654ACA}" done="1">
    <text>Un peu flou sur les valeurs autorisées pour le type canal, prévoir quelques grands types ? (style "tel", "mail", "other" etc)</text>
  </threadedComment>
  <threadedComment ref="H82" dT="2023-09-26T16:55:36.18" personId="{ABFB0C52-AC18-4406-B6D7-B9BCF5A2A0D7}" id="{E209311C-A599-460D-B95A-FD0D555846ED}" parentId="{1045B670-B272-44B0-BDBC-183806654ACA}">
    <text>Reprendre la nomenclature CHANNEL d'EMSI ?</text>
  </threadedComment>
  <threadedComment ref="H82" dT="2023-09-26T17:04:41.07" personId="{ABFB0C52-AC18-4406-B6D7-B9BCF5A2A0D7}" id="{51201774-5B67-4D66-A841-88BC6298DFB4}" parentId="{1045B670-B272-44B0-BDBC-183806654ACA}">
    <text>Pour aller au bout de la logique, le passer en objet CONTACT</text>
  </threadedComment>
  <threadedComment ref="U83" dT="2024-01-08T13:02:05.69" personId="{C9A89B3A-A5FD-6849-8E65-1CD4E6C7CFF2}" id="{564332DB-ADA6-844E-907A-3843E012B57E}">
    <text>N’autoriser que les n° de tel (PHNADD) et mettre la regex du n° de tel de l’interface : REGEX: tel:([#\+\*]|37000|00+)?[0-9]{2,15} ?</text>
  </threadedComment>
  <threadedComment ref="U83" dT="2024-01-23T14:51:41.35" personId="{E9A6DF60-F9B3-4BD0-BB8A-DE1D37E26830}" id="{F662B81E-5F3E-48F3-91E7-17164A1F070D}" parentId="{564332DB-ADA6-844E-907A-3843E012B57E}">
    <text>@Daphné LECCIA (EXT) @Romain FOUILLAND : Philippe souhaite ici remettre la nomenclature EMSI complète correspondante (point 15-15 du 220124). Je reprends l'objet dans le 15-15.</text>
    <mentions>
      <mention mentionpersonId="{DF480BA0-C840-4713-8568-FE1A645D605C}" mentionId="{CAAB5DD5-CC22-4035-8364-6B447CF7B352}" startIndex="0" length="20"/>
      <mention mentionpersonId="{8A877495-E9BF-4545-8586-47BB0F221908}" mentionId="{56A23164-4822-45AB-9EC6-FDCAE2BCA1D1}" startIndex="21" length="17"/>
    </mentions>
  </threadedComment>
  <threadedComment ref="U83" dT="2024-01-24T17:33:12.16" personId="{C9A89B3A-A5FD-6849-8E65-1CD4E6C7CFF2}" id="{216B13EB-ECF4-43F3-81A9-C97B25053F33}" parentId="{564332DB-ADA6-844E-907A-3843E012B57E}">
    <text>OK pas de souci, qui peut le plus peut le moins</text>
  </threadedComment>
  <threadedComment ref="H85" dT="2023-09-26T17:04:43.98" personId="{ABFB0C52-AC18-4406-B6D7-B9BCF5A2A0D7}" id="{50663E24-E8B2-4610-BB55-CDEDCB0AEBE2}" done="1">
    <text>Pour aller au bout de la logique, le passer en objet CONTACT</text>
  </threadedComment>
  <threadedComment ref="Q85" dT="2023-09-18T14:50:47.97" personId="{ABFB0C52-AC18-4406-B6D7-B9BCF5A2A0D7}" id="{449D854F-D1BC-4874-A270-C7FBD5C53315}">
    <text>A priori un seul appelant à l'origine mais potentiellement plusieurs données de contact en retour ?</text>
  </threadedComment>
  <threadedComment ref="Q85" dT="2023-11-08T14:07:11.17" personId="{ABFB0C52-AC18-4406-B6D7-B9BCF5A2A0D7}" id="{4E0EDB80-0D0C-450A-A95B-31415A9B0896}" parentId="{449D854F-D1BC-4874-A270-C7FBD5C53315}">
    <text>Passer à 0..n</text>
  </threadedComment>
  <threadedComment ref="Q85" dT="2024-02-14T10:24:48.69" personId="{E9A6DF60-F9B3-4BD0-BB8A-DE1D37E26830}" id="{59B6BE73-22DB-4899-9B27-032F199351B8}" parentId="{449D854F-D1BC-4874-A270-C7FBD5C53315}">
    <text>@Romain FOUILLAND @Daphné LECCIA (EXT) : pourquoi ce n'est pas le contact de contre appel qui est obligatoire ici ?</text>
    <mentions>
      <mention mentionpersonId="{8A877495-E9BF-4545-8586-47BB0F221908}" mentionId="{4F7D361D-C648-4EE1-9319-F1D0EF731743}" startIndex="0" length="17"/>
      <mention mentionpersonId="{DF480BA0-C840-4713-8568-FE1A645D605C}" mentionId="{A510B5F6-8563-41A9-85EB-A72216A1E26C}" startIndex="18" length="20"/>
    </mentions>
  </threadedComment>
  <threadedComment ref="Q85" dT="2024-02-14T11:37:55.39" personId="{C9A89B3A-A5FD-6849-8E65-1CD4E6C7CFF2}" id="{8AA94673-947F-42BA-8AE3-A07072766411}" parentId="{449D854F-D1BC-4874-A270-C7FBD5C53315}">
    <text>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text>
  </threadedComment>
  <threadedComment ref="Q85" dT="2024-02-14T15:23:29.03" personId="{DF4F572D-2211-4D3A-83E1-5495966E637E}" id="{80C3223C-C142-4E42-9DE2-FAB0CAEBF784}" parentId="{449D854F-D1BC-4874-A270-C7FBD5C53315}">
    <text xml:space="preserve">Côté SAMU le contact requérant = contact de contre appel (sauf si précisé autrement). Il faut savoir qui rappeler en fait.
Peut être qu'il faut le préciser : on met le contact de contre appel seulement s'il est différent du numéro de l'appelant ? </text>
  </threadedComment>
  <threadedComment ref="Q85" dT="2024-02-14T16:02:53.14" personId="{C9A89B3A-A5FD-6849-8E65-1CD4E6C7CFF2}" id="{CB069F88-B75F-41AB-B983-453A8AD11973}" parentId="{449D854F-D1BC-4874-A270-C7FBD5C53315}">
    <text>&gt; on met le contact de contre appel seulement s'il est différent du numéro de l'appelant ? 
Oui c'est ça la logique</text>
  </threadedComment>
  <threadedComment ref="H86" dT="2023-09-21T09:55:48.46" personId="{ABFB0C52-AC18-4406-B6D7-B9BCF5A2A0D7}" id="{D22EB006-FD31-4905-A0BA-E809AB322C44}" done="1">
    <text>Demander en annexe côté NexSIS si ils mettent une nomenclature</text>
  </threadedComment>
  <threadedComment ref="H86" dT="2023-09-25T11:54:42.17" personId="{ABFB0C52-AC18-4406-B6D7-B9BCF5A2A0D7}" id="{897F4059-91E9-4A21-9A63-505005BA3B7B}" parentId="{D22EB006-FD31-4905-A0BA-E809AB322C44}">
    <text>=&gt; Utiliser le référentiel SI-SAMU pour les langues</text>
  </threadedComment>
  <threadedComment ref="H86" dT="2023-10-11T16:22:12.70" personId="{ABFB0C52-AC18-4406-B6D7-B9BCF5A2A0D7}" id="{146C9C91-4F95-4CAD-B7CF-0D1625D0D9F0}" parentId="{D22EB006-FD31-4905-A0BA-E809AB322C44}">
    <text>=&gt; Plutôt ISO finalement</text>
  </threadedComment>
  <threadedComment ref="U87" dT="2024-01-23T14:38:54.44" personId="{E9A6DF60-F9B3-4BD0-BB8A-DE1D37E26830}" id="{EC4CA26B-FA56-44B7-9485-D7650DC1B372}">
    <text>NOMENCLATURE: TYPAPPLT_v1r01a.csv</text>
  </threadedComment>
  <threadedComment ref="U88" dT="2024-01-23T14:40:43.03" personId="{E9A6DF60-F9B3-4BD0-BB8A-DE1D37E26830}" id="{0EC36618-96EE-478D-81B9-54F0CAEE9F88}">
    <text>NOMENCLATURE: PBAPL_v1r01a.csv</text>
  </threadedComment>
  <threadedComment ref="D89" dT="2023-10-17T14:05:10.67" personId="{C9A89B3A-A5FD-6849-8E65-1CD4E6C7CFF2}" id="{0700921D-3E22-E44A-B10A-66139D58EFD3}" done="1">
    <text>Inetum a une codification ! Pas possible de faire concordance sur du texte libre… Avoir une nomenclature + libre ?</text>
  </threadedComment>
  <threadedComment ref="D89"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9" dT="2023-06-15T07:45:15.69" personId="{C9A89B3A-A5FD-6849-8E65-1CD4E6C7CFF2}" id="{8B70DA13-018B-4BE7-9D85-CAD41DEDE16B}" done="1">
    <text>Avoir une nomenclature ?</text>
  </threadedComment>
  <threadedComment ref="E89" dT="2023-06-16T08:45:22.06" personId="{6D908C62-98CE-5042-81E4-8ACAD1B880FE}" id="{12BEE0B6-53B7-4B84-A323-4525B9F070DD}" parentId="{8B70DA13-018B-4BE7-9D85-CAD41DEDE16B}">
    <text>Champs libre côté NexSIS</text>
  </threadedComment>
  <threadedComment ref="E89"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9" dT="2023-06-22T17:50:55.63" personId="{C9A89B3A-A5FD-6849-8E65-1CD4E6C7CFF2}" id="{2D2C7BD2-8228-41A1-A494-53F903F3574F}" parentId="{8B70DA13-018B-4BE7-9D85-CAD41DEDE16B}">
    <text>https://ansforge.github.io/SAMU-interface-LRM/DST%20SI%20SAMU%20Interfa%C3%A7age%20LRM_V1.2.pdf</text>
  </threadedComment>
  <threadedComment ref="E89" dT="2023-06-23T08:39:19.32" personId="{C9A89B3A-A5FD-6849-8E65-1CD4E6C7CFF2}" id="{EC8F23F2-468E-44A3-AE50-6327E2B06555}" parentId="{8B70DA13-018B-4BE7-9D85-CAD41DEDE16B}">
    <text>=&gt; OK pour une approche “nomenclature libre”</text>
  </threadedComment>
  <threadedComment ref="J89" dT="2023-09-21T09:56:11.24" personId="{C9A89B3A-A5FD-6849-8E65-1CD4E6C7CFF2}" id="{3343E777-8CBA-824D-A290-B18AD61B9129}" done="1">
    <text>freetext ?</text>
  </threadedComment>
  <threadedComment ref="E90" dT="2023-06-16T08:45:57.42" personId="{6D908C62-98CE-5042-81E4-8ACAD1B880FE}" id="{456C6261-46FE-47A3-ABE3-21780523066A}" done="1">
    <text>Réfléchir à une structure récursive / détaillée également</text>
  </threadedComment>
  <threadedComment ref="E90" dT="2023-06-22T17:55:16.22" personId="{C9A89B3A-A5FD-6849-8E65-1CD4E6C7CFF2}" id="{E99CE092-3BC0-4BC8-B207-43E0B20784D0}" parentId="{456C6261-46FE-47A3-ABE3-21780523066A}">
    <text>callerName 
- complete (basé sur un template {firstName} {lastName})
- firstName
- lastName</text>
  </threadedComment>
  <threadedComment ref="E90" dT="2023-06-23T08:42:43.54" personId="{C9A89B3A-A5FD-6849-8E65-1CD4E6C7CFF2}" id="{FAA64B8B-3383-4504-879B-0CFB30392649}" parentId="{456C6261-46FE-47A3-ABE3-21780523066A}">
    <text>Complete ? Aggregated ? Full ? 
-&gt; Nader regarde si le SitRep propose des trucs comme ça</text>
  </threadedComment>
  <threadedComment ref="E90" dT="2023-06-30T08:32:08.88" personId="{C9A89B3A-A5FD-6849-8E65-1CD4E6C7CFF2}" id="{26DEA5A2-F472-42AB-8F87-859012FF50F6}" parentId="{456C6261-46FE-47A3-ABE3-21780523066A}">
    <text>Ok de le présenter comme ça sur le 4 juillet, on avisera ensuite en fonction du SItrep</text>
  </threadedComment>
  <threadedComment ref="E93" dT="2023-09-25T11:56:28.41" personId="{ABFB0C52-AC18-4406-B6D7-B9BCF5A2A0D7}" id="{F862C684-B65A-4FC1-AEC4-870221995080}" done="1">
    <text>Règle sur les prénoms pour les prénoms composés</text>
  </threadedComment>
  <threadedComment ref="E93" dT="2023-10-11T14:32:18.84" personId="{E9A6DF60-F9B3-4BD0-BB8A-DE1D37E26830}" id="{B9E4C68E-9524-4FA5-84AF-6EF596D19BF3}" parentId="{F862C684-B65A-4FC1-AEC4-870221995080}">
    <text>De quelle règle parle-t-on ? 
Et pour les noms composés pas de règle ?</text>
  </threadedComment>
  <threadedComment ref="E93" dT="2023-10-11T16:23:17.75" personId="{ABFB0C52-AC18-4406-B6D7-B9BCF5A2A0D7}" id="{01379FDB-1840-4004-B244-23F1BA83A282}" parentId="{F862C684-B65A-4FC1-AEC4-870221995080}">
    <text>Pas de règle a date justement pour les prénoms composés =&gt; libre</text>
  </threadedComment>
  <threadedComment ref="F93" dT="2023-05-12T08:44:54.69" personId="{15E60E5B-8F12-4B01-8E2A-D3C877CDBAC1}" id="{6EB96170-F11A-4E55-BFF9-911EA46C448F}" done="1">
    <text>Pas possible de séparer dans l'interface. 
NexSIS regarde si la PFLAU envoie les 2 ensemble</text>
  </threadedComment>
  <threadedComment ref="H96" dT="2023-11-28T09:34:56.00" personId="{E9A6DF60-F9B3-4BD0-BB8A-DE1D37E26830}" id="{FB8B17FD-812B-4D45-91E1-3C0557FCEA2D}">
    <text xml:space="preserve">On peut donc avoir des nomenclatures EMSI dans un message RC-EDA ?
</text>
  </threadedComment>
  <threadedComment ref="C98" dT="2023-10-17T13:57:39.74" personId="{C9A89B3A-A5FD-6849-8E65-1CD4E6C7CFF2}" id="{F9DFBDFD-1215-9341-9E1E-3024F293D141}">
    <text>Localisation de l’appelant ? Ou d’intervention ?</text>
  </threadedComment>
  <threadedComment ref="C98" dT="2023-11-08T14:14:06.57" personId="{ABFB0C52-AC18-4406-B6D7-B9BCF5A2A0D7}" id="{EA2DA816-C4B8-4227-A75C-1BF943FC0D33}" parentId="{F9DFBDFD-1215-9341-9E1E-3024F293D141}">
    <text>Plutôt lieu ou se trouve l'appelant car lieu d'affaire renseigné en haut</text>
  </threadedComment>
  <threadedComment ref="D98" dT="2023-07-04T13:01:55.92" personId="{C9A89B3A-A5FD-6849-8E65-1CD4E6C7CFF2}" id="{A3B7AE35-2849-4423-8AE8-6B9911E6561D}" done="1">
    <text>Vont vraiment être différentes de la localisation de l’affaire ?</text>
  </threadedComment>
  <threadedComment ref="Q98" dT="2023-09-28T16:19:13.29" personId="{ABFB0C52-AC18-4406-B6D7-B9BCF5A2A0D7}" id="{902D6982-CF5B-4CB7-B9F4-E53F0BDFA27A}" done="1">
    <text>Obligatoire du coup vu qu'on a une location dans l'affaire ?</text>
  </threadedComment>
  <threadedComment ref="Q99" dT="2024-03-18T12:42:32.39" personId="{E9A6DF60-F9B3-4BD0-BB8A-DE1D37E26830}" id="{CC5C1D76-D97F-4BE5-B966-DD495B85204C}">
    <text>Retour de Philippe : peut-on le passer en optionnel, ce qui n'oblige pas les SAMU à répéter la qualification à chaque fois ?</text>
  </threadedComment>
  <threadedComment ref="D101" dT="2023-09-21T16:30:38.12" personId="{ABFB0C52-AC18-4406-B6D7-B9BCF5A2A0D7}" id="{663EEC70-25D1-4531-8E3C-8B803A28B6D5}" done="1">
    <text>Un concept emprunté au ROR est intéressant et transposable ici, parler d'unité de service pour décrire la plus petite maille</text>
  </threadedComment>
  <threadedComment ref="E101" dT="2023-06-15T07:50:06.13" personId="{C9A89B3A-A5FD-6849-8E65-1CD4E6C7CFF2}" id="{3BA75720-6FD7-4770-B19D-58D93FFDC9E8}" done="1">
    <text>Nomenclature sur ça ?</text>
  </threadedComment>
  <threadedComment ref="E101" dT="2023-06-22T21:24:05.20" personId="{C9A89B3A-A5FD-6849-8E65-1CD4E6C7CFF2}" id="{876E9C94-2532-4344-A05A-9DF2692B0ECD}" parentId="{3BA75720-6FD7-4770-B19D-58D93FFDC9E8}">
    <text>Juste réfléchir aux valeurs possibles : SDIS, SAMU, ... ?
Et les départements FRXXX en centre ?</text>
  </threadedComment>
  <threadedComment ref="D103"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T103" dT="2023-12-20T16:55:28.15" personId="{9D129102-2382-4ACD-99FE-0A45F267AA1A}" id="{32F7371F-532E-4483-BA02-85ED2898A502}">
    <text>je retire la croix tant que la nomenclature n'existe pas</text>
  </threadedComment>
  <threadedComment ref="U103" dT="2023-12-21T09:37:15.19" personId="{9D129102-2382-4ACD-99FE-0A45F267AA1A}" id="{17677DF8-67EB-4AE7-861C-BE96B97E6CBC}">
    <text>NOMENCLATURE: PERSO (nomenclature SI-SAMU)</text>
  </threadedComment>
  <threadedComment ref="H104" dT="2023-09-21T10:18:27.87" personId="{ABFB0C52-AC18-4406-B6D7-B9BCF5A2A0D7}" id="{7A1ACB5D-9506-421C-B92B-1CBD98910C4E}" done="1">
    <text>Aligner en mode URI</text>
  </threadedComment>
  <threadedComment ref="H104" dT="2023-09-26T17:04:33.97" personId="{ABFB0C52-AC18-4406-B6D7-B9BCF5A2A0D7}" id="{5E5E6B8C-D443-4F6F-8E17-7C83800DF187}" parentId="{7A1ACB5D-9506-421C-B92B-1CBD98910C4E}">
    <text>Pour aller au bout de la logique, le passer en objet CONTACT</text>
  </threadedComment>
  <threadedComment ref="H104" dT="2023-09-28T12:51:10.37" personId="{ABFB0C52-AC18-4406-B6D7-B9BCF5A2A0D7}" id="{28964279-F625-4E18-9B3A-1F4416C1598C}" parentId="{7A1ACB5D-9506-421C-B92B-1CBD98910C4E}">
    <text>Mettre attachement</text>
  </threadedComment>
  <threadedComment ref="T107" dT="2023-09-19T08:50:44.73" personId="{ABFB0C52-AC18-4406-B6D7-B9BCF5A2A0D7}" id="{07B5D5D0-B502-47B6-A891-DAEF39BCC4D8}" done="1">
    <text>Impose-t-on une liste de type de ressource ou est-ce laissé libre pour les éditeurs ?</text>
  </threadedComment>
  <threadedComment ref="U107" dT="2024-02-13T10:24:23.28" personId="{15E60E5B-8F12-4B01-8E2A-D3C877CDBAC1}" id="{8BCB09BF-A48C-8242-B3C8-18F71F97C7AD}">
    <text xml:space="preserve">Impose-t-on une liste de type de ressource ou est-ce laissé libre pour les éditeurs ?
</text>
  </threadedComment>
  <threadedComment ref="D112" dT="2023-09-21T10:23:46.33" personId="{ABFB0C52-AC18-4406-B6D7-B9BCF5A2A0D7}" id="{F7E40DD6-D14F-4AC4-95ED-C43838656AE4}">
    <text>Indiquer comment on fait le Hash =&gt; pas évident comme on fait le contrôle d'intégrité</text>
  </threadedComment>
  <threadedComment ref="D112" dT="2023-11-08T14:21:20.60" personId="{ABFB0C52-AC18-4406-B6D7-B9BCF5A2A0D7}" id="{1634B54C-DE58-48BE-B1A8-B8DC14E63DD3}" parentId="{F7E40DD6-D14F-4AC4-95ED-C43838656AE4}">
    <text>Sha-256</text>
  </threadedComment>
  <threadedComment ref="U113" dT="2024-01-24T10:54:29.36" personId="{E9A6DF60-F9B3-4BD0-BB8A-DE1D37E26830}" id="{3A4DE914-B324-41EC-B1CE-789615C59923}">
    <text>Implémenter ici la liste des valeurs fr.health.samu possible.</text>
  </threadedComment>
  <threadedComment ref="B114" dT="2023-11-14T15:29:39.07" personId="{E9A6DF60-F9B3-4BD0-BB8A-DE1D37E26830}" id="{A9F8EF48-108A-4EAB-A6C9-DAA6E6A1C56C}">
    <text>Objet Agent qui existe dans la qualification de l'affaire : à réutiliser ici ? Doit on ajouter nom prénom à l'objet ?</text>
  </threadedComment>
  <threadedComment ref="B118" dT="2024-02-13T09:55:48.02" personId="{D6952652-30E5-479A-9FFE-AD0BC8CBB562}" id="{E40A2F45-E340-487F-9FD6-2404E4F5A700}">
    <text>A renvoyer dans le SGV</text>
  </threadedComment>
  <threadedComment ref="B118" dT="2024-02-14T11:08:23.01" personId="{E9A6DF60-F9B3-4BD0-BB8A-DE1D37E26830}" id="{90AC2D07-B24B-46FD-A4D1-F812BDDF0D16}" parentId="{E40A2F45-E340-487F-9FD6-2404E4F5A700}">
    <text>On va sortir ça dans un message séparé : ça impacte mes cinématiques sur tout ce qui est déjà publié, donc j'attends qu'on arbitre le 26 sur les mises à jour pour le faire.</text>
  </threadedComment>
  <threadedComment ref="C118" dT="2023-07-06T14:47:40.47" personId="{ABFB0C52-AC18-4406-B6D7-B9BCF5A2A0D7}" id="{9EEB9362-90F5-494F-BB71-06EF0D54376B}" done="1">
    <text>Est-ce qu'il faut un objet Bilan qui incorpore les patients/victime ?</text>
  </threadedComment>
  <threadedComment ref="C118" dT="2023-07-12T08:35:36.42" personId="{ABFB0C52-AC18-4406-B6D7-B9BCF5A2A0D7}" id="{1D9D9BCA-BCEF-469D-983A-D2536F65A96C}" parentId="{9EEB9362-90F5-494F-BB71-06EF0D54376B}">
    <text>Il faudra à terme pouvoir faire le lien avec SGV</text>
  </threadedComment>
  <threadedComment ref="C118" dT="2023-11-14T20:28:23.68" personId="{E9A6DF60-F9B3-4BD0-BB8A-DE1D37E26830}" id="{8E067E92-BFB2-4B46-8AA0-21A22F61C7CC}" parentId="{9EEB9362-90F5-494F-BB71-06EF0D54376B}">
    <text>Le bilan se fait-il pour chaque patient/victime ? Si oui, le bilan est lié au patient</text>
  </threadedComment>
  <threadedComment ref="U122" dT="2023-07-04T15:19:48.30" personId="{C9A89B3A-A5FD-6849-8E65-1CD4E6C7CFF2}" id="{CB950F1D-7F07-43E1-850B-913CBE20F585}">
    <text>ENUM ?</text>
  </threadedComment>
  <threadedComment ref="H124" dT="2023-09-20T13:13:53.48" personId="{ABFB0C52-AC18-4406-B6D7-B9BCF5A2A0D7}" id="{258F99A5-CCAC-44B3-9CB2-E5E5FB7A031F}" done="1">
    <text>Un peu flou sur les valeurs autorisées pour le type canal, prévoir quelques grands types ? (style "tel", "mail", "other" etc)</text>
  </threadedComment>
  <threadedComment ref="H124" dT="2023-09-26T16:55:36.18" personId="{ABFB0C52-AC18-4406-B6D7-B9BCF5A2A0D7}" id="{2429CD2E-1350-4C77-B1E7-D9BF95D0DE0F}" parentId="{258F99A5-CCAC-44B3-9CB2-E5E5FB7A031F}">
    <text>Reprendre la nomenclature CHANNEL d'EMSI ?</text>
  </threadedComment>
  <threadedComment ref="H124" dT="2023-09-26T17:04:41.07" personId="{ABFB0C52-AC18-4406-B6D7-B9BCF5A2A0D7}" id="{1586761D-C2A8-459D-A734-E7C93943C0A9}" parentId="{258F99A5-CCAC-44B3-9CB2-E5E5FB7A031F}">
    <text>Pour aller au bout de la logique, le passer en objet CONTACT</text>
  </threadedComment>
  <threadedComment ref="Q124"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U124" dT="2024-01-23T14:49:31.14" personId="{E9A6DF60-F9B3-4BD0-BB8A-DE1D37E26830}" id="{10CBED9B-33B3-4F2D-9D08-CE6F15806504}">
    <text>Remettre la nomenclature EMSI complète dans l'objet contact qu'on réutilise ici</text>
  </threadedComment>
  <threadedComment ref="U130" dT="2024-01-23T15:00:16.04" personId="{E9A6DF60-F9B3-4BD0-BB8A-DE1D37E26830}" id="{47F99561-A768-4B9A-96FB-A8753B229875}">
    <text>vérifier le format du numéro RPPS seulement, ne pas implémenter la nomenclature complète</text>
  </threadedComment>
  <threadedComment ref="H132" dT="2023-09-20T13:13:53.48" personId="{ABFB0C52-AC18-4406-B6D7-B9BCF5A2A0D7}" id="{647A8527-7AF1-45AA-BB58-53C964C0E6F0}" done="1">
    <text>Un peu flou sur les valeurs autorisées pour le type canal, prévoir quelques grands types ? (style "tel", "mail", "other" etc)</text>
  </threadedComment>
  <threadedComment ref="H132" dT="2023-09-26T16:55:36.18" personId="{ABFB0C52-AC18-4406-B6D7-B9BCF5A2A0D7}" id="{FECFF266-C864-428C-9966-9B138242FB95}" parentId="{647A8527-7AF1-45AA-BB58-53C964C0E6F0}">
    <text>Reprendre la nomenclature CHANNEL d'EMSI ?</text>
  </threadedComment>
  <threadedComment ref="H132" dT="2023-09-26T17:04:41.07" personId="{ABFB0C52-AC18-4406-B6D7-B9BCF5A2A0D7}" id="{72BF1BA8-2AFF-404A-9193-020D6474E505}" parentId="{647A8527-7AF1-45AA-BB58-53C964C0E6F0}">
    <text>Pour aller au bout de la logique, le passer en objet CONTACT</text>
  </threadedComment>
  <threadedComment ref="Q132"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37"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8"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U138" dT="2024-01-23T15:05:32.39" personId="{E9A6DF60-F9B3-4BD0-BB8A-DE1D37E26830}" id="{63885E42-5898-4ECF-8108-E0BD8B826BE8}">
    <text>Vérifier uniquement le format du matricule INS : 13 caractères alphanumériques + une clé sur 2 chiffres</text>
  </threadedComment>
  <threadedComment ref="E139"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U139" dT="2024-01-23T15:06:28.79" personId="{E9A6DF60-F9B3-4BD0-BB8A-DE1D37E26830}" id="{B64AB07A-CA5D-41C4-905E-0AFD3F67254F}">
    <text>Voir pour implémenter une énum, ou une simple vérification de format</text>
  </threadedComment>
  <threadedComment ref="D140"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40"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U144" dT="2024-01-23T15:07:36.60" personId="{E9A6DF60-F9B3-4BD0-BB8A-DE1D37E26830}" id="{24B071A5-FE22-46B3-B0AC-65924FDC1BDF}" done="1">
    <text>@Romain FOUILLAND Mettre un format date uniquement ici</text>
    <mentions>
      <mention mentionpersonId="{8A877495-E9BF-4545-8586-47BB0F221908}" mentionId="{F8C64EFE-1914-4D69-A488-774868518CC7}" startIndex="0" length="17"/>
    </mentions>
  </threadedComment>
  <threadedComment ref="U144" dT="2024-01-24T17:35:30.68" personId="{C9A89B3A-A5FD-6849-8E65-1CD4E6C7CFF2}" id="{3DF16A55-CD4C-4B8D-857D-A063CE83F303}" parentId="{24B071A5-FE22-46B3-B0AC-65924FDC1BDF}">
    <text>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text>
  </threadedComment>
  <threadedComment ref="U144" dT="2024-01-25T09:18:10.46" personId="{DF4F572D-2211-4D3A-83E1-5495966E637E}" id="{53D659E6-E2BA-475C-AF89-C73FC88E56F5}" parentId="{24B071A5-FE22-46B3-B0AC-65924FDC1BDF}">
    <text>ok</text>
  </threadedComment>
  <threadedComment ref="U145" dT="2024-01-23T15:10:58.58" personId="{E9A6DF60-F9B3-4BD0-BB8A-DE1D37E26830}" id="{014DE198-64E2-4507-A3FC-DF421F511779}">
    <text>Implémenter la nomenclature CISU (cf. Fichier transmis par Philippe)</text>
  </threadedComment>
  <threadedComment ref="E146"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U146" dT="2024-01-23T15:12:26.27" personId="{E9A6DF60-F9B3-4BD0-BB8A-DE1D37E26830}" id="{BA91A5D4-B745-43C1-AD05-F9E9B9B84277}">
    <text>Trouver le format du code INSEE, et mettre une simple vérification</text>
  </threadedComment>
  <threadedComment ref="C148"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U148" dT="2024-01-24T10:30:46.17" personId="{E9A6DF60-F9B3-4BD0-BB8A-DE1D37E26830}" id="{FFA7F0E1-3845-469A-B7CF-A4621D3089F0}">
    <text>Idem nomenclature 15-18 car exactement le même objet</text>
  </threadedComment>
  <threadedComment ref="D150"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52"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52"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U153" dT="2024-01-24T11:06:36.27" personId="{E9A6DF60-F9B3-4BD0-BB8A-DE1D37E26830}" id="{2D9ECE82-3D73-4587-8C50-69F305FE6D3A}">
    <text>NOMENCLATURE: GRAVITE_SF21.csv</text>
  </threadedComment>
  <threadedComment ref="U155" dT="2024-01-24T10:39:46.13" personId="{E9A6DF60-F9B3-4BD0-BB8A-DE1D37E26830}" id="{000D1EF5-EA8D-4028-887E-09B730402CB5}">
    <text>CIM11 : récupérer le format des codes, et ne vérifier que le format</text>
  </threadedComment>
  <threadedComment ref="Q156" dT="2023-06-15T08:43:45.62" personId="{C9A89B3A-A5FD-6849-8E65-1CD4E6C7CFF2}" id="{B2A46742-7986-49EC-BFF2-E5B137820840}" done="1">
    <text>Vraiment 0..n ??? Plutôt 0..1 !</text>
  </threadedComment>
  <threadedComment ref="Q156" dT="2023-06-15T08:44:13.57" personId="{C9A89B3A-A5FD-6849-8E65-1CD4E6C7CFF2}" id="{0A6061F6-9572-4E76-8A7E-B49B7B3754F0}" parentId="{B2A46742-7986-49EC-BFF2-E5B137820840}">
    <text>Quid des autres alertes ultérieures ? -&gt; pas ici ! Pas 0..n</text>
  </threadedComment>
  <threadedComment ref="Q156" dT="2023-06-15T08:47:32.60" personId="{C9A89B3A-A5FD-6849-8E65-1CD4E6C7CFF2}" id="{B4482AEB-107B-477C-8801-43834D34BA26}" parentId="{B2A46742-7986-49EC-BFF2-E5B137820840}">
    <text>Pourquoi faire initiale et nouvelle alerte ??? Juste partager une liste de n alertes non ?</text>
  </threadedComment>
  <threadedComment ref="Q156"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U156" dT="2024-01-24T10:39:49.44" personId="{E9A6DF60-F9B3-4BD0-BB8A-DE1D37E26830}" id="{55DD76D7-71AA-4415-B5EF-4C960C6C5F04}">
    <text>CIM11 : récupérer le format des codes, et ne vérifier que le format</text>
  </threadedComment>
  <threadedComment ref="C157" dT="2023-11-28T10:26:59.01" personId="{E9A6DF60-F9B3-4BD0-BB8A-DE1D37E26830}" id="{DC749AE9-4EDB-4A7F-8A7B-0D009E03AED0}">
    <text xml:space="preserve">Quelle nomenclature  + est-ce un objet code + libellé ? </text>
  </threadedComment>
  <threadedComment ref="U157" dT="2024-01-24T10:40:00.12" personId="{E9A6DF60-F9B3-4BD0-BB8A-DE1D37E26830}" id="{522C021E-FCFD-4A22-8243-F9B9E8F1567F}">
    <text>CIM11 : récupérer le format des codes, et ne vérifier que le format</text>
  </threadedComment>
  <threadedComment ref="D160" dT="2023-11-14T15:29:39.07" personId="{E9A6DF60-F9B3-4BD0-BB8A-DE1D37E26830}" id="{A01A1601-D876-42A1-B7E1-CAFC7CAE43BD}">
    <text>Objet Agent qui existe dans la qualification de l'affaire : à réutiliser ici ? Doit on ajouter nom prénom à l'objet ?</text>
  </threadedComment>
  <threadedComment ref="B166" dT="2024-02-13T09:57:22.61" personId="{D6952652-30E5-479A-9FFE-AD0BC8CBB562}" id="{6542F462-2A54-48A5-9A62-7E7CFBDF2B9A}">
    <text>A envoyer au SGV (qui fait le lien vers la tablette du SIS)</text>
  </threadedComment>
  <threadedComment ref="B166" dT="2024-02-13T09:58:10.72" personId="{D6952652-30E5-479A-9FFE-AD0BC8CBB562}" id="{143643F3-D10F-401E-A876-4CA32200C2A3}" parentId="{6542F462-2A54-48A5-9A62-7E7CFBDF2B9A}">
    <text xml:space="preserve">Le véhicule en partant vers la destination, crée une mission fille dans le SGO </text>
  </threadedComment>
  <threadedComment ref="B166" dT="2024-04-02T12:06:44.16" personId="{D6952652-30E5-479A-9FFE-AD0BC8CBB562}" id="{649483CA-BA3D-46C0-A6F1-F3ED50DEAA09}" parentId="{6542F462-2A54-48A5-9A62-7E7CFBDF2B9A}">
    <text>Faut-il un ID technique par décision prise?</text>
  </threadedComment>
  <threadedComment ref="U169" dT="2024-01-24T10:43:18.99" personId="{E9A6DF60-F9B3-4BD0-BB8A-DE1D37E26830}" id="{4DB9FC1B-FE92-4AA7-B2F3-BFF17D976413}">
    <text>Implémenter nomenclature SI-SAMU : type_dec</text>
  </threadedComment>
  <threadedComment ref="C170" dT="2023-09-20T15:45:30.85" personId="{ABFB0C52-AC18-4406-B6D7-B9BCF5A2A0D7}" id="{DFEBA3BC-8166-4F9F-A129-402A4AB175F7}" done="1">
    <text>Y'a-t-il une nomenclature derrière ? Sinon mettre plutôt du freetext</text>
  </threadedComment>
  <threadedComment ref="U170" dT="2024-01-24T10:43:34.09" personId="{E9A6DF60-F9B3-4BD0-BB8A-DE1D37E26830}" id="{04411F78-544D-4A29-9486-C852BE16B4A1}">
    <text>A revoir</text>
  </threadedComment>
  <threadedComment ref="C171" dT="2023-09-21T08:24:16.97" personId="{ABFB0C52-AC18-4406-B6D7-B9BCF5A2A0D7}" id="{D34D40C8-9930-4697-941A-5B0307605F2D}">
    <text>Mettre plutôt un type ressource cf. EMSI</text>
  </threadedComment>
  <threadedComment ref="C171" dT="2024-02-13T10:01:45.69" personId="{D6952652-30E5-479A-9FFE-AD0BC8CBB562}" id="{8D632DFE-73A0-43B3-8F82-CD0C740322E7}" parentId="{D34D40C8-9930-4697-941A-5B0307605F2D}">
    <text>Pour le SIS : le médecin ne décide pas du vecteur qui s'occupe du transport - on peut bien indiquer les conditions de transport (secouriste, médicale, etc.)</text>
  </threadedComment>
  <threadedComment ref="C171" dT="2024-02-14T15:17:13.96" personId="{E9A6DF60-F9B3-4BD0-BB8A-DE1D37E26830}" id="{9EECE729-A2D6-4754-AAB1-ADE252994913}" parentId="{D34D40C8-9930-4697-941A-5B0307605F2D}">
    <text>Ici il s'agit plutôt soit de pouvoir mettre un lien vers l'ID du vecteur engagé si c'est une ressource interne soit d'indiquer un type de vecteur (ex: SMUR).</text>
  </threadedComment>
  <threadedComment ref="C171" dT="2024-02-14T15:17:27.42" personId="{E9A6DF60-F9B3-4BD0-BB8A-DE1D37E26830}" id="{EBAE4D6E-6A63-4CA5-9FDB-E1A7DB2624F0}" parentId="{D34D40C8-9930-4697-941A-5B0307605F2D}">
    <text>A revoir avec Philippe, ce n'est pas arrêté.</text>
  </threadedComment>
  <threadedComment ref="C171" dT="2024-02-14T15:18:02.76" personId="{E9A6DF60-F9B3-4BD0-BB8A-DE1D37E26830}" id="{AACD2844-8F8A-46C1-86DD-90D033A54A15}" parentId="{D34D40C8-9930-4697-941A-5B0307605F2D}">
    <text>Sachant que c'est le médecin qui décide quel type de vecteur envoyer dans sa décision.</text>
  </threadedComment>
  <threadedComment ref="K171" dT="2023-11-24T17:15:01.30" personId="{E9A6DF60-F9B3-4BD0-BB8A-DE1D37E26830}" id="{67DC72F8-6B7D-47A0-BEBA-53124836E50B}">
    <text>Il faut que ce soit idem EMSI ?</text>
  </threadedComment>
  <threadedComment ref="U171" dT="2024-01-24T10:43:34.09" personId="{E9A6DF60-F9B3-4BD0-BB8A-DE1D37E26830}" id="{F5B47079-EDF2-4F5B-8F3A-6F444147F2DD}">
    <text>A revoir</text>
  </threadedComment>
  <threadedComment ref="K173" dT="2023-11-24T17:15:01.30" personId="{E9A6DF60-F9B3-4BD0-BB8A-DE1D37E26830}" id="{6729E6ED-B0CD-41F4-BDE9-63A71C3B0080}">
    <text>Il faut que ce soit idem EMSI ?</text>
  </threadedComment>
  <threadedComment ref="C174" dT="2023-09-21T08:23:36.30" personId="{ABFB0C52-AC18-4406-B6D7-B9BCF5A2A0D7}" id="{94CB63FF-3915-49D6-9867-9F61128C5ACD}" done="1">
    <text>Définir la nomenclature</text>
  </threadedComment>
  <threadedComment ref="C174" dT="2023-11-27T12:34:46.55" personId="{E9A6DF60-F9B3-4BD0-BB8A-DE1D37E26830}" id="{78649DAB-1804-4F5E-803E-2A96DDADC5CA}" parentId="{94CB63FF-3915-49D6-9867-9F61128C5ACD}">
    <text xml:space="preserve">Pas la même signification, que le "niveau de soins" d'engagement du vecteur. </text>
  </threadedComment>
  <threadedComment ref="C174" dT="2023-11-27T12:36:58.47" personId="{E9A6DF60-F9B3-4BD0-BB8A-DE1D37E26830}" id="{CE30DA1C-AAEC-444F-94DF-638CE30D50EC}" parentId="{94CB63FF-3915-49D6-9867-9F61128C5ACD}">
    <text>Dans le vecteur de transport : niveau de médicalisation du transport</text>
  </threadedComment>
  <threadedComment ref="C174" dT="2023-11-27T12:38:39.20" personId="{E9A6DF60-F9B3-4BD0-BB8A-DE1D37E26830}" id="{F3C6268C-0C86-44B1-AEDD-07A7E6BDA651}" parentId="{94CB63FF-3915-49D6-9867-9F61128C5ACD}">
    <text>Pas de nomenclature</text>
  </threadedComment>
  <threadedComment ref="C174" dT="2024-02-13T10:04:00.09" personId="{D6952652-30E5-479A-9FFE-AD0BC8CBB562}" id="{08E091A3-2B23-4E29-8C53-86D86C995AF3}" parentId="{94CB63FF-3915-49D6-9867-9F61128C5ACD}">
    <text>Niveau de prise en charge au lieu de médicalisation (si médicalisation, on implique qu'un médecin est déjà engagé)</text>
  </threadedComment>
  <threadedComment ref="C174" dT="2024-02-14T15:11:40.85" personId="{E9A6DF60-F9B3-4BD0-BB8A-DE1D37E26830}" id="{2DCF6EB2-5F13-41F6-B096-848B911D20CE}" parentId="{94CB63FF-3915-49D6-9867-9F61128C5ACD}">
    <text xml:space="preserve">A revoir avec Philippe : on est dans la régulation médicale, donc il y a bien un médecin qui a pris une décision.
Le niveau médical de l'équipe engagée en revanche peut être différent
</text>
  </threadedComment>
  <threadedComment ref="C174" dT="2024-02-14T15:16:07.60" personId="{E9A6DF60-F9B3-4BD0-BB8A-DE1D37E26830}" id="{7BDA604B-DFC7-4629-9693-3CD616521672}" parentId="{94CB63FF-3915-49D6-9867-9F61128C5ACD}">
    <text xml:space="preserve">+ il y a certains samu qui considère que le type de vecteur demandé = quel type d'équipe doit être dedans
</text>
  </threadedComment>
  <threadedComment ref="C175" dT="2023-09-21T08:23:20.98" personId="{ABFB0C52-AC18-4406-B6D7-B9BCF5A2A0D7}" id="{418F6048-D82E-4151-A527-DD3375E32EDF}">
    <text>Reprendre un objet position du modèle adresse EMSI ?</text>
  </threadedComment>
  <threadedComment ref="C175" dT="2024-02-13T10:05:46.40" personId="{D6952652-30E5-479A-9FFE-AD0BC8CBB562}" id="{26B6DF9B-DDBF-426E-AFCA-74101BE11566}" parentId="{418F6048-D82E-4151-A527-DD3375E32EDF}">
    <text>Typer la destination : domicile, hôpital, établissement X, etc.</text>
  </threadedComment>
  <threadedComment ref="C175" dT="2024-02-14T15:12:00.47" personId="{E9A6DF60-F9B3-4BD0-BB8A-DE1D37E26830}" id="{EC2B03C6-95C8-4E80-9783-E89E90359424}" parentId="{418F6048-D82E-4151-A527-DD3375E32EDF}">
    <text>Idem, en cours avec Philippe</text>
  </threadedComment>
  <threadedComment ref="C175" dT="2024-03-18T12:59:52.07" personId="{E9A6DF60-F9B3-4BD0-BB8A-DE1D37E26830}" id="{49421C2E-53B8-437A-B2D0-8F7F929B893E}" parentId="{418F6048-D82E-4151-A527-DD3375E32EDF}">
    <text>Mettre un objet identique à l'adresse de localisation. Pour pouvoir amener les personnes à n'importe quel endroit (y compris à domicile).
+ ajouter un champ FINESS ?</text>
  </threadedComment>
  <threadedComment ref="D176" dT="2024-03-11T08:28:41.81" personId="{D6952652-30E5-479A-9FFE-AD0BC8CBB562}" id="{B2E36609-985A-480B-9D00-3FA79278887B}">
    <text>Ajouté suite au retour de Philippe</text>
  </threadedComment>
  <threadedComment ref="C178" dT="2023-07-04T13:01:55.92" personId="{C9A89B3A-A5FD-6849-8E65-1CD4E6C7CFF2}" id="{3E4494E4-4D0B-482E-8C44-6CA902FCAA01}" done="1">
    <text>Vont vraiment être différentes de la localisation de l’affaire ?</text>
  </threadedComment>
  <threadedComment ref="Q178" dT="2023-06-15T08:43:45.62" personId="{C9A89B3A-A5FD-6849-8E65-1CD4E6C7CFF2}" id="{12397E16-0DD2-4B81-8BEC-31510D881B5D}" done="1">
    <text>Vraiment 0..n ??? Plutôt 0..1 !</text>
  </threadedComment>
  <threadedComment ref="Q178" dT="2023-06-15T08:44:13.57" personId="{C9A89B3A-A5FD-6849-8E65-1CD4E6C7CFF2}" id="{874C3690-704A-4135-9A27-9126AC7954EF}" parentId="{12397E16-0DD2-4B81-8BEC-31510D881B5D}">
    <text>Quid des autres alertes ultérieures ? -&gt; pas ici ! Pas 0..n</text>
  </threadedComment>
  <threadedComment ref="Q178" dT="2023-06-15T08:47:32.60" personId="{C9A89B3A-A5FD-6849-8E65-1CD4E6C7CFF2}" id="{C595C92E-EE11-44EA-80CE-6225C1299968}" parentId="{12397E16-0DD2-4B81-8BEC-31510D881B5D}">
    <text>Pourquoi faire initiale et nouvelle alerte ??? Juste partager une liste de n alertes non ?</text>
  </threadedComment>
  <threadedComment ref="Q178"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80" dT="2024-03-26T09:12:42.22" personId="{C9A89B3A-A5FD-6849-8E65-1CD4E6C7CFF2}" id="{56075946-9C3F-8345-89AE-75C567E0E491}">
    <text>Bien 0..3</text>
  </threadedComment>
  <threadedComment ref="A185" dT="2023-11-10T16:14:36.81" personId="{74379435-529A-4754-96FF-EF4318F87F1A}" id="{D6BBFD18-B7C3-44E9-AAAF-C0520A0384D3}">
    <text>doublon avec l'ID 5. Pourquoi ne pas avoir une donnée (niveau 2) "Informations supplémentaires" en freetext ?</text>
  </threadedComment>
  <threadedComment ref="B185"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6.xml><?xml version="1.0" encoding="utf-8"?>
<ThreadedComments xmlns="http://schemas.microsoft.com/office/spreadsheetml/2018/threadedcomments" xmlns:x="http://schemas.openxmlformats.org/spreadsheetml/2006/main">
  <threadedComment ref="C102" dT="2024-03-26T10:14:32.09" personId="{D6952652-30E5-479A-9FFE-AD0BC8CBB562}" id="{01361339-10D3-48AC-A489-2044EDD6D1C5}">
    <text>Le type de vecteur (ex. VLM, AR, VSAV, etc.) est indiqué dans le nom</text>
  </threadedComment>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threadedComments/threadedComment7.xml><?xml version="1.0" encoding="utf-8"?>
<ThreadedComments xmlns="http://schemas.microsoft.com/office/spreadsheetml/2018/threadedcomments" xmlns:x="http://schemas.openxmlformats.org/spreadsheetml/2006/main">
  <threadedComment ref="B17" dT="2024-04-04T09:25:59.45" personId="{D6952652-30E5-479A-9FFE-AD0BC8CBB562}" id="{9AAA5787-EEB2-4F34-B9FC-ACEEB598338A}">
    <text>Le retour de l'identité du bilan, permet de confirmer les informations identitaires du patient</text>
  </threadedComment>
  <threadedComment ref="B29" dT="2024-04-04T09:25:27.13" personId="{D6952652-30E5-479A-9FFE-AD0BC8CBB562}" id="{2CBF1497-5853-4802-BF2B-FC06E91F8D75}">
    <text>Est-ce que le SMUR a besoin de nous renvoyer le lieu d'intervention ? Est-il possible que celui-ci ne soit pas le même que celui transmis dans le dossier ?</text>
  </threadedComment>
</ThreadedComments>
</file>

<file path=xl/threadedComments/threadedComment8.xml><?xml version="1.0" encoding="utf-8"?>
<ThreadedComments xmlns="http://schemas.microsoft.com/office/spreadsheetml/2018/threadedcomments" xmlns:x="http://schemas.openxmlformats.org/spreadsheetml/2006/main">
  <threadedComment ref="C14" dT="2024-03-27T13:51:12.15" personId="{D6952652-30E5-479A-9FFE-AD0BC8CBB562}" id="{0CE8A59F-6C67-4E3A-891B-3EA2B5782CF2}">
    <text>Type déduit par rapport à la localisation de l'intervention vs de la destination (ex. Si hospitalier alors sorite SMUR secondaire), et pour les TIH : idem plus niveau de médicalisation (=paramédical)</text>
  </threadedComment>
  <threadedComment ref="D21" dT="2024-03-26T14:48:00.56" personId="{D6952652-30E5-479A-9FFE-AD0BC8CBB562}" id="{AFBC43DC-22DD-45A7-94DB-0652D4386677}">
    <text xml:space="preserve">Quel libellé/code prendre ? </text>
  </threadedComment>
  <threadedComment ref="D21" dT="2024-03-26T14:50:37.20" personId="{D6952652-30E5-479A-9FFE-AD0BC8CBB562}" id="{12D414B6-9197-442F-966B-F11238AB8098}" parentId="{AFBC43DC-22DD-45A7-94DB-0652D4386677}">
    <text xml:space="preserve">Exemple : si accident routier entre un piéton et camion de marchandise, quel est le code à retenir ? AVPAR ? AVPARCAM ? AVPARPIE ? </text>
  </threadedComment>
  <threadedComment ref="D21" dT="2024-03-26T14:50:53.56" personId="{D6952652-30E5-479A-9FFE-AD0BC8CBB562}" id="{7123B02D-79C1-4AE4-A452-1757A424ABF5}" parentId="{AFBC43DC-22DD-45A7-94DB-0652D4386677}">
    <text>Ou est-ce à préciser dans le commentaire ?</text>
  </threadedComment>
  <threadedComment ref="C30" dT="2024-03-27T13:59:13.40" personId="{D6952652-30E5-479A-9FFE-AD0BC8CBB562}" id="{E217C0E1-E310-4516-9319-75E49215DCA3}">
    <text xml:space="preserve">Comment gérer le fait que la date de naissance n'est pas toujours connu, et que seul un âge est saisi ? </text>
  </threadedComment>
  <threadedComment ref="C59" dT="2024-03-25T16:05:53.08" personId="{D6952652-30E5-479A-9FFE-AD0BC8CBB562}" id="{CA9F7116-A69A-49A4-A9FD-112B11A9100E}">
    <text>Correspond également au motif de sans transport (soins sur place, refus de soins, refus de transport, décédé)</text>
  </threadedComment>
  <threadedComment ref="H62" dT="2024-03-27T14:38:41.61" personId="{D6952652-30E5-479A-9FFE-AD0BC8CBB562}" id="{91C7B266-0E0A-4462-A600-2FC08026D2AA}">
    <text>Pas de nomenclature dispo dans l'Excel partagé</text>
  </threadedComment>
  <threadedComment ref="D68" dT="2024-03-26T17:03:39.38" personId="{D6952652-30E5-479A-9FFE-AD0BC8CBB562}" id="{B49C2831-535E-4572-A161-4566AA17433A}">
    <text>Obligatoire si transport du patient vers une destination, facultatif si aucun transport</text>
  </threadedComment>
</ThreadedComments>
</file>

<file path=xl/threadedComments/threadedComment9.xml><?xml version="1.0" encoding="utf-8"?>
<ThreadedComments xmlns="http://schemas.microsoft.com/office/spreadsheetml/2018/threadedcomments" xmlns:x="http://schemas.openxmlformats.org/spreadsheetml/2006/main">
  <threadedComment ref="B8" dT="2023-10-17T14:10:14.10" personId="{C9A89B3A-A5FD-6849-8E65-1CD4E6C7CFF2}" id="{8EF2D3DC-4B1C-4B82-9096-95A1B9D01CEE}">
    <text xml:space="preserve">Le champs de ‘signalement’ a été supprimé finalement ? </text>
  </threadedComment>
  <threadedComment ref="B8" dT="2023-10-23T11:26:27.60" personId="{C9A89B3A-A5FD-6849-8E65-1CD4E6C7CFF2}" id="{D0977997-56D0-4852-8960-2512ABE39533}" parentId="{8EF2D3DC-4B1C-4B82-9096-95A1B9D01CEE}">
    <text>Ajouter un champs de statut local global du dossier ? Ou message de clôture ? Ou règle "après 24h clôt" ?</text>
  </threadedComment>
  <threadedComment ref="B8" dT="2023-11-08T13:34:34.60" personId="{ABFB0C52-AC18-4406-B6D7-B9BCF5A2A0D7}" id="{CB64E8CE-2D4E-4D90-B12A-47D4D31CC1A4}" parentId="{8EF2D3DC-4B1C-4B82-9096-95A1B9D01CEE}">
    <text>A traiter avec NexSIS. Pour l'instant obligé de passer par un RC-EDA pour la gestion du statut</text>
  </threadedComment>
  <threadedComment ref="C19" dT="2024-02-08T08:45:03.58" personId="{D6952652-30E5-479A-9FFE-AD0BC8CBB562}" id="{C557B0E9-A149-4C10-B37C-C0E2C5D0EA9A}">
    <text>Pour avoir la possibilité de ne pas transmettre la vitesse à certains organismes, regarder ce champ facultatif</text>
  </threadedComment>
  <threadedComment ref="C21" dT="2024-02-08T08:48:34.97" personId="{D6952652-30E5-479A-9FFE-AD0BC8CBB562}" id="{9575B3B8-C341-4C80-87F7-09034563A054}">
    <text>Facultatif si hélicoptère</text>
  </threadedComment>
</ThreadedComment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4.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5.xml"/><Relationship Id="rId5" Type="http://schemas.openxmlformats.org/officeDocument/2006/relationships/comments" Target="../comments5.xml"/><Relationship Id="rId4" Type="http://schemas.openxmlformats.org/officeDocument/2006/relationships/table" Target="../tables/table4.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2.xml"/><Relationship Id="rId4" Type="http://schemas.microsoft.com/office/2017/10/relationships/threadedComment" Target="../threadedComments/threadedComment6.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table" Target="../tables/table5.xml"/><Relationship Id="rId1" Type="http://schemas.openxmlformats.org/officeDocument/2006/relationships/vmlDrawing" Target="../drawings/vmlDrawing7.vml"/><Relationship Id="rId4" Type="http://schemas.microsoft.com/office/2017/10/relationships/threadedComment" Target="../threadedComments/threadedComment7.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8.vml"/><Relationship Id="rId1" Type="http://schemas.openxmlformats.org/officeDocument/2006/relationships/printerSettings" Target="../printerSettings/printerSettings5.bin"/><Relationship Id="rId5" Type="http://schemas.microsoft.com/office/2017/10/relationships/threadedComment" Target="../threadedComments/threadedComment8.xml"/><Relationship Id="rId4" Type="http://schemas.openxmlformats.org/officeDocument/2006/relationships/comments" Target="../comments8.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6.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vmlDrawing" Target="../drawings/vmlDrawing9.vml"/><Relationship Id="rId1" Type="http://schemas.openxmlformats.org/officeDocument/2006/relationships/printerSettings" Target="../printerSettings/printerSettings6.bin"/><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table" Target="../tables/table10.xml"/><Relationship Id="rId1" Type="http://schemas.openxmlformats.org/officeDocument/2006/relationships/vmlDrawing" Target="../drawings/vmlDrawing10.vml"/><Relationship Id="rId4" Type="http://schemas.microsoft.com/office/2017/10/relationships/threadedComment" Target="../threadedComments/threadedComment10.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vmlDrawing" Target="../drawings/vmlDrawing11.vml"/><Relationship Id="rId1" Type="http://schemas.openxmlformats.org/officeDocument/2006/relationships/printerSettings" Target="../printerSettings/printerSettings7.bin"/><Relationship Id="rId5" Type="http://schemas.microsoft.com/office/2017/10/relationships/threadedComment" Target="../threadedComments/threadedComment11.xml"/><Relationship Id="rId4" Type="http://schemas.openxmlformats.org/officeDocument/2006/relationships/comments" Target="../comments11.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75">
      <c r="A1" s="8"/>
      <c r="B1" s="9" t="s">
        <v>0</v>
      </c>
      <c r="C1" s="10"/>
      <c r="D1" s="11"/>
      <c r="E1" s="10"/>
      <c r="F1" s="12"/>
      <c r="G1" s="11"/>
      <c r="H1" s="11"/>
      <c r="I1" s="11"/>
      <c r="J1" s="609"/>
      <c r="K1" s="609"/>
      <c r="L1" s="13"/>
      <c r="M1" s="13"/>
      <c r="N1" s="14"/>
      <c r="O1" s="14"/>
      <c r="P1" s="14"/>
      <c r="Q1" s="14"/>
      <c r="R1" s="14"/>
      <c r="S1" s="14"/>
      <c r="T1" s="14"/>
      <c r="U1" s="14"/>
      <c r="V1" s="14"/>
      <c r="W1" s="14"/>
      <c r="X1" s="14"/>
      <c r="Y1" s="14"/>
      <c r="Z1" s="14"/>
      <c r="AMG1"/>
      <c r="AMH1"/>
      <c r="AMI1"/>
      <c r="AMJ1"/>
    </row>
    <row r="2" spans="1:1024"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c r="A18" s="35">
        <v>2</v>
      </c>
      <c r="B18" s="35" t="s">
        <v>66</v>
      </c>
      <c r="C18" s="36" t="s">
        <v>67</v>
      </c>
      <c r="D18" s="36" t="s">
        <v>28</v>
      </c>
      <c r="E18" s="45" t="s">
        <v>74</v>
      </c>
      <c r="F18" s="50" t="s">
        <v>75</v>
      </c>
      <c r="G18" s="36" t="s">
        <v>70</v>
      </c>
      <c r="H18" s="47" t="s">
        <v>76</v>
      </c>
      <c r="I18" s="47" t="s">
        <v>72</v>
      </c>
      <c r="J18" s="48"/>
      <c r="K18" s="49"/>
      <c r="L18" s="5" t="s">
        <v>77</v>
      </c>
      <c r="T18" s="7">
        <v>1</v>
      </c>
    </row>
    <row r="19" spans="1:1024">
      <c r="A19" s="35">
        <v>2</v>
      </c>
      <c r="B19" s="35" t="s">
        <v>66</v>
      </c>
      <c r="C19" s="36" t="s">
        <v>67</v>
      </c>
      <c r="D19" s="36" t="s">
        <v>28</v>
      </c>
      <c r="E19" s="45"/>
      <c r="F19" s="51" t="s">
        <v>78</v>
      </c>
      <c r="G19" s="36"/>
      <c r="H19" s="47"/>
      <c r="I19" s="47"/>
      <c r="J19" s="48"/>
      <c r="K19" s="49"/>
      <c r="L19" s="5" t="s">
        <v>79</v>
      </c>
      <c r="T19" s="7">
        <v>1</v>
      </c>
    </row>
    <row r="20" spans="1:1024">
      <c r="A20" s="35">
        <v>2</v>
      </c>
      <c r="B20" s="35" t="s">
        <v>66</v>
      </c>
      <c r="C20" s="36" t="s">
        <v>67</v>
      </c>
      <c r="D20" s="36" t="s">
        <v>28</v>
      </c>
      <c r="E20" s="45"/>
      <c r="F20" s="51" t="s">
        <v>80</v>
      </c>
      <c r="G20" s="36"/>
      <c r="H20" s="47"/>
      <c r="I20" s="47"/>
      <c r="J20" s="48"/>
      <c r="K20" s="49"/>
      <c r="L20" s="5" t="s">
        <v>81</v>
      </c>
      <c r="T20" s="7">
        <v>1</v>
      </c>
    </row>
    <row r="21" spans="1:1024"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c r="A22" s="35">
        <v>2</v>
      </c>
      <c r="B22" s="35" t="s">
        <v>66</v>
      </c>
      <c r="C22" s="36" t="s">
        <v>67</v>
      </c>
      <c r="D22" s="36" t="s">
        <v>28</v>
      </c>
      <c r="E22" s="45"/>
      <c r="F22" s="51" t="s">
        <v>84</v>
      </c>
      <c r="G22" s="36"/>
      <c r="H22" s="47"/>
      <c r="I22" s="47"/>
      <c r="J22" s="48"/>
      <c r="K22" s="49"/>
      <c r="L22" s="5" t="s">
        <v>85</v>
      </c>
      <c r="T22" s="7">
        <v>1</v>
      </c>
    </row>
    <row r="23" spans="1:1024"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0">
      <c r="A24" s="35">
        <v>2</v>
      </c>
      <c r="B24" s="35" t="s">
        <v>66</v>
      </c>
      <c r="C24" s="36" t="s">
        <v>67</v>
      </c>
      <c r="D24" s="36" t="s">
        <v>28</v>
      </c>
      <c r="E24" s="45" t="s">
        <v>90</v>
      </c>
      <c r="F24" s="59" t="s">
        <v>91</v>
      </c>
      <c r="G24" s="36" t="s">
        <v>70</v>
      </c>
      <c r="H24" s="47"/>
      <c r="I24" s="47" t="s">
        <v>88</v>
      </c>
      <c r="J24" s="48" t="s">
        <v>92</v>
      </c>
      <c r="K24" s="49"/>
      <c r="L24" s="5" t="s">
        <v>93</v>
      </c>
      <c r="T24" s="7">
        <v>1</v>
      </c>
    </row>
    <row r="25" spans="1:1024" ht="30">
      <c r="A25" s="35">
        <v>2</v>
      </c>
      <c r="B25" s="35" t="s">
        <v>66</v>
      </c>
      <c r="C25" s="36" t="s">
        <v>67</v>
      </c>
      <c r="D25" s="36" t="s">
        <v>28</v>
      </c>
      <c r="E25" s="45" t="s">
        <v>94</v>
      </c>
      <c r="F25" s="59" t="s">
        <v>95</v>
      </c>
      <c r="G25" s="36" t="s">
        <v>70</v>
      </c>
      <c r="H25" s="47"/>
      <c r="I25" s="47" t="s">
        <v>88</v>
      </c>
      <c r="J25" s="48" t="s">
        <v>96</v>
      </c>
      <c r="K25" s="49"/>
      <c r="L25" s="58" t="s">
        <v>97</v>
      </c>
    </row>
    <row r="26" spans="1:1024">
      <c r="A26" s="35">
        <v>2</v>
      </c>
      <c r="B26" s="35" t="s">
        <v>66</v>
      </c>
      <c r="C26" s="36" t="s">
        <v>67</v>
      </c>
      <c r="D26" s="36" t="s">
        <v>28</v>
      </c>
      <c r="E26" s="45" t="s">
        <v>98</v>
      </c>
      <c r="F26" s="59" t="s">
        <v>99</v>
      </c>
      <c r="G26" s="36" t="s">
        <v>100</v>
      </c>
      <c r="H26" s="47"/>
      <c r="I26" s="47" t="s">
        <v>88</v>
      </c>
      <c r="J26" s="48"/>
      <c r="K26" s="49"/>
      <c r="L26" s="5" t="s">
        <v>101</v>
      </c>
      <c r="T26" s="7">
        <v>1</v>
      </c>
    </row>
    <row r="27" spans="1:1024">
      <c r="A27" s="35">
        <v>2</v>
      </c>
      <c r="B27" s="35" t="s">
        <v>66</v>
      </c>
      <c r="C27" s="36" t="s">
        <v>67</v>
      </c>
      <c r="D27" s="36" t="s">
        <v>28</v>
      </c>
      <c r="E27" s="45" t="s">
        <v>102</v>
      </c>
      <c r="F27" s="59" t="s">
        <v>103</v>
      </c>
      <c r="G27" s="36" t="s">
        <v>70</v>
      </c>
      <c r="H27" s="47"/>
      <c r="I27" s="47" t="s">
        <v>88</v>
      </c>
      <c r="J27" s="48"/>
      <c r="K27" s="49"/>
      <c r="L27" s="58" t="s">
        <v>97</v>
      </c>
    </row>
    <row r="28" spans="1:1024">
      <c r="A28" s="35">
        <v>2</v>
      </c>
      <c r="B28" s="35" t="s">
        <v>66</v>
      </c>
      <c r="C28" s="36" t="s">
        <v>67</v>
      </c>
      <c r="D28" s="36" t="s">
        <v>28</v>
      </c>
      <c r="E28" s="45" t="s">
        <v>104</v>
      </c>
      <c r="F28" s="59" t="s">
        <v>105</v>
      </c>
      <c r="G28" s="36" t="s">
        <v>70</v>
      </c>
      <c r="H28" s="47"/>
      <c r="I28" s="47" t="s">
        <v>88</v>
      </c>
      <c r="J28" s="48"/>
      <c r="K28" s="49"/>
      <c r="L28" s="58" t="s">
        <v>97</v>
      </c>
    </row>
    <row r="29" spans="1:1024">
      <c r="A29" s="35">
        <v>2</v>
      </c>
      <c r="B29" s="35" t="s">
        <v>66</v>
      </c>
      <c r="C29" s="36" t="s">
        <v>67</v>
      </c>
      <c r="D29" s="36" t="s">
        <v>28</v>
      </c>
      <c r="E29" s="45" t="s">
        <v>106</v>
      </c>
      <c r="F29" s="37" t="s">
        <v>107</v>
      </c>
      <c r="G29" s="36" t="s">
        <v>37</v>
      </c>
      <c r="H29" s="47"/>
      <c r="I29" s="47" t="s">
        <v>37</v>
      </c>
      <c r="J29" s="48" t="s">
        <v>108</v>
      </c>
      <c r="K29" s="49"/>
      <c r="L29" s="5" t="s">
        <v>109</v>
      </c>
      <c r="T29" s="7">
        <v>1</v>
      </c>
    </row>
    <row r="30" spans="1:1024" ht="30">
      <c r="A30" s="35">
        <v>2</v>
      </c>
      <c r="B30" s="35" t="s">
        <v>66</v>
      </c>
      <c r="C30" s="36" t="s">
        <v>67</v>
      </c>
      <c r="D30" s="36" t="s">
        <v>28</v>
      </c>
      <c r="E30" s="45" t="s">
        <v>110</v>
      </c>
      <c r="F30" s="43" t="s">
        <v>111</v>
      </c>
      <c r="G30" s="36" t="s">
        <v>37</v>
      </c>
      <c r="J30" s="5" t="s">
        <v>112</v>
      </c>
      <c r="L30" s="5" t="s">
        <v>113</v>
      </c>
    </row>
    <row r="31" spans="1:1024" ht="30">
      <c r="A31" s="35">
        <v>2</v>
      </c>
      <c r="B31" s="35" t="s">
        <v>66</v>
      </c>
      <c r="C31" s="36" t="s">
        <v>114</v>
      </c>
      <c r="D31" s="36" t="s">
        <v>28</v>
      </c>
      <c r="E31" s="45" t="s">
        <v>115</v>
      </c>
      <c r="F31" s="60" t="s">
        <v>116</v>
      </c>
      <c r="G31" s="3" t="s">
        <v>37</v>
      </c>
      <c r="I31" s="3" t="s">
        <v>37</v>
      </c>
      <c r="L31" s="5" t="s">
        <v>117</v>
      </c>
      <c r="T31" s="7">
        <v>1</v>
      </c>
    </row>
    <row r="32" spans="1:1024">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1024" ht="30">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0">
      <c r="A67" s="35">
        <v>2</v>
      </c>
      <c r="B67" s="35" t="s">
        <v>66</v>
      </c>
      <c r="C67" s="36" t="s">
        <v>219</v>
      </c>
      <c r="D67" s="3" t="s">
        <v>214</v>
      </c>
      <c r="E67" s="45" t="s">
        <v>237</v>
      </c>
      <c r="F67" s="50" t="s">
        <v>238</v>
      </c>
      <c r="G67" s="36" t="s">
        <v>70</v>
      </c>
      <c r="H67" s="47" t="s">
        <v>239</v>
      </c>
      <c r="I67" s="47" t="s">
        <v>88</v>
      </c>
      <c r="J67" s="48" t="s">
        <v>240</v>
      </c>
      <c r="K67" s="49"/>
      <c r="L67" s="64" t="s">
        <v>97</v>
      </c>
    </row>
    <row r="68" spans="1:1024">
      <c r="A68" s="35">
        <v>2</v>
      </c>
      <c r="B68" s="35" t="s">
        <v>66</v>
      </c>
      <c r="C68" s="36" t="s">
        <v>219</v>
      </c>
      <c r="D68" s="3" t="s">
        <v>214</v>
      </c>
      <c r="E68" s="45" t="s">
        <v>241</v>
      </c>
      <c r="F68" s="50" t="s">
        <v>242</v>
      </c>
      <c r="G68" s="36" t="s">
        <v>70</v>
      </c>
      <c r="H68" s="47"/>
      <c r="I68" s="47" t="s">
        <v>88</v>
      </c>
      <c r="J68" s="48" t="s">
        <v>243</v>
      </c>
      <c r="K68" s="49"/>
      <c r="L68" s="64" t="s">
        <v>97</v>
      </c>
    </row>
    <row r="69" spans="1:1024" ht="30">
      <c r="A69" s="35">
        <v>2</v>
      </c>
      <c r="B69" s="35" t="s">
        <v>66</v>
      </c>
      <c r="C69" s="36" t="s">
        <v>219</v>
      </c>
      <c r="D69" s="3" t="s">
        <v>214</v>
      </c>
      <c r="E69" s="45" t="s">
        <v>244</v>
      </c>
      <c r="F69" s="50" t="s">
        <v>245</v>
      </c>
      <c r="G69" s="47" t="s">
        <v>70</v>
      </c>
      <c r="H69" s="48" t="s">
        <v>246</v>
      </c>
      <c r="I69" s="47" t="s">
        <v>234</v>
      </c>
      <c r="J69" s="48"/>
      <c r="K69" s="49"/>
      <c r="L69" s="64" t="s">
        <v>97</v>
      </c>
    </row>
    <row r="70" spans="1:1024"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1024">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c r="A109" s="35">
        <v>3</v>
      </c>
      <c r="B109" s="35" t="s">
        <v>327</v>
      </c>
      <c r="C109" s="36" t="s">
        <v>265</v>
      </c>
      <c r="D109" s="36" t="s">
        <v>266</v>
      </c>
      <c r="E109" s="45" t="s">
        <v>361</v>
      </c>
      <c r="F109" s="59" t="s">
        <v>362</v>
      </c>
      <c r="G109" s="36" t="s">
        <v>100</v>
      </c>
      <c r="H109" s="47"/>
      <c r="I109" s="47" t="s">
        <v>88</v>
      </c>
      <c r="J109" s="48"/>
      <c r="K109" s="49"/>
      <c r="L109" s="58" t="s">
        <v>97</v>
      </c>
    </row>
    <row r="110" spans="1:1024">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c r="A111" s="35">
        <v>3</v>
      </c>
      <c r="B111" s="35" t="s">
        <v>327</v>
      </c>
      <c r="C111" s="36" t="s">
        <v>265</v>
      </c>
      <c r="D111" s="36" t="s">
        <v>266</v>
      </c>
      <c r="E111" s="45" t="s">
        <v>367</v>
      </c>
      <c r="F111" s="59" t="s">
        <v>368</v>
      </c>
      <c r="G111" s="36" t="s">
        <v>70</v>
      </c>
      <c r="H111" s="47"/>
      <c r="I111" s="47" t="s">
        <v>88</v>
      </c>
      <c r="J111" s="48"/>
      <c r="K111" s="49"/>
      <c r="L111" s="58" t="s">
        <v>97</v>
      </c>
    </row>
    <row r="112" spans="1:1024">
      <c r="A112" s="35">
        <v>3</v>
      </c>
      <c r="B112" s="35" t="s">
        <v>327</v>
      </c>
      <c r="C112" s="36" t="s">
        <v>265</v>
      </c>
      <c r="D112" s="36" t="s">
        <v>266</v>
      </c>
      <c r="E112" s="45" t="s">
        <v>369</v>
      </c>
      <c r="F112" s="59" t="s">
        <v>370</v>
      </c>
      <c r="G112" s="36" t="s">
        <v>70</v>
      </c>
      <c r="H112" s="47" t="s">
        <v>371</v>
      </c>
      <c r="I112" s="47" t="s">
        <v>88</v>
      </c>
      <c r="J112" s="48"/>
      <c r="K112" s="49"/>
      <c r="L112" s="58" t="s">
        <v>97</v>
      </c>
    </row>
    <row r="113" spans="1:1024"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65">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0">
      <c r="A135" s="35">
        <v>3</v>
      </c>
      <c r="B135" s="35" t="s">
        <v>327</v>
      </c>
      <c r="C135" s="36" t="s">
        <v>376</v>
      </c>
      <c r="D135" s="36" t="s">
        <v>377</v>
      </c>
      <c r="E135" s="45" t="s">
        <v>437</v>
      </c>
      <c r="F135" s="43" t="s">
        <v>438</v>
      </c>
      <c r="G135" s="3" t="s">
        <v>37</v>
      </c>
      <c r="I135" s="3" t="s">
        <v>37</v>
      </c>
      <c r="J135" s="5" t="s">
        <v>439</v>
      </c>
      <c r="L135" s="5" t="s">
        <v>440</v>
      </c>
      <c r="O135" s="7">
        <v>1</v>
      </c>
    </row>
    <row r="136" spans="1:1024" ht="135">
      <c r="A136" s="35">
        <v>3</v>
      </c>
      <c r="B136" s="35" t="s">
        <v>327</v>
      </c>
      <c r="C136" s="36" t="s">
        <v>376</v>
      </c>
      <c r="D136" s="36" t="s">
        <v>377</v>
      </c>
      <c r="E136" s="45" t="s">
        <v>441</v>
      </c>
      <c r="F136" s="43" t="s">
        <v>442</v>
      </c>
      <c r="G136" s="3" t="s">
        <v>37</v>
      </c>
      <c r="I136" s="3" t="s">
        <v>37</v>
      </c>
      <c r="L136" s="5" t="s">
        <v>443</v>
      </c>
      <c r="O136" s="7">
        <v>1</v>
      </c>
      <c r="T136" s="7">
        <v>1</v>
      </c>
    </row>
    <row r="137" spans="1:1024" ht="75">
      <c r="A137" s="35">
        <v>3</v>
      </c>
      <c r="B137" s="35" t="s">
        <v>327</v>
      </c>
      <c r="C137" s="36" t="s">
        <v>376</v>
      </c>
      <c r="D137" s="36" t="s">
        <v>377</v>
      </c>
      <c r="E137" s="45" t="s">
        <v>444</v>
      </c>
      <c r="F137" s="43" t="s">
        <v>250</v>
      </c>
      <c r="G137" s="3" t="s">
        <v>37</v>
      </c>
      <c r="I137" s="3" t="s">
        <v>37</v>
      </c>
      <c r="L137" s="5" t="s">
        <v>445</v>
      </c>
      <c r="O137" s="7">
        <v>1</v>
      </c>
    </row>
    <row r="138" spans="1:1024" ht="30">
      <c r="A138" s="35">
        <v>3</v>
      </c>
      <c r="B138" s="35" t="s">
        <v>327</v>
      </c>
      <c r="C138" s="36" t="s">
        <v>376</v>
      </c>
      <c r="D138" s="36" t="s">
        <v>377</v>
      </c>
      <c r="E138" s="45" t="s">
        <v>446</v>
      </c>
      <c r="F138" s="43" t="s">
        <v>447</v>
      </c>
      <c r="G138" s="3" t="s">
        <v>37</v>
      </c>
      <c r="I138" s="3" t="s">
        <v>37</v>
      </c>
      <c r="L138" s="5" t="s">
        <v>448</v>
      </c>
      <c r="R138" s="7">
        <v>1</v>
      </c>
      <c r="S138" s="7">
        <v>1</v>
      </c>
    </row>
    <row r="139" spans="1:1024">
      <c r="A139" s="35">
        <v>3</v>
      </c>
      <c r="B139" s="35" t="s">
        <v>327</v>
      </c>
      <c r="C139" s="36" t="s">
        <v>376</v>
      </c>
      <c r="D139" s="36" t="s">
        <v>377</v>
      </c>
      <c r="E139" s="45" t="s">
        <v>449</v>
      </c>
      <c r="F139" s="43" t="s">
        <v>450</v>
      </c>
      <c r="G139" s="3" t="s">
        <v>37</v>
      </c>
      <c r="I139" s="3" t="s">
        <v>37</v>
      </c>
      <c r="L139" s="5" t="s">
        <v>451</v>
      </c>
      <c r="R139" s="7">
        <v>1</v>
      </c>
    </row>
    <row r="140" spans="1:1024" ht="30">
      <c r="A140" s="35">
        <v>3</v>
      </c>
      <c r="B140" s="35" t="s">
        <v>327</v>
      </c>
      <c r="C140" s="36" t="s">
        <v>376</v>
      </c>
      <c r="D140" s="36" t="s">
        <v>377</v>
      </c>
      <c r="E140" s="45" t="s">
        <v>452</v>
      </c>
      <c r="F140" s="43" t="s">
        <v>453</v>
      </c>
      <c r="G140" s="3" t="s">
        <v>37</v>
      </c>
      <c r="I140" s="3" t="s">
        <v>37</v>
      </c>
      <c r="L140" s="5" t="s">
        <v>454</v>
      </c>
      <c r="R140" s="7">
        <v>1</v>
      </c>
      <c r="S140" s="7">
        <v>1</v>
      </c>
    </row>
    <row r="141" spans="1:1024" ht="30">
      <c r="A141" s="35">
        <v>3</v>
      </c>
      <c r="B141" s="35" t="s">
        <v>327</v>
      </c>
      <c r="C141" s="36" t="s">
        <v>376</v>
      </c>
      <c r="D141" s="36" t="s">
        <v>377</v>
      </c>
      <c r="E141" s="45" t="s">
        <v>455</v>
      </c>
      <c r="F141" s="43" t="s">
        <v>456</v>
      </c>
      <c r="G141" s="3" t="s">
        <v>37</v>
      </c>
      <c r="I141" s="3" t="s">
        <v>37</v>
      </c>
      <c r="L141" s="5" t="s">
        <v>457</v>
      </c>
      <c r="R141" s="7">
        <v>1</v>
      </c>
      <c r="S141" s="7">
        <v>1</v>
      </c>
    </row>
    <row r="142" spans="1:1024" ht="30">
      <c r="A142" s="35">
        <v>3</v>
      </c>
      <c r="B142" s="35" t="s">
        <v>327</v>
      </c>
      <c r="C142" s="36" t="s">
        <v>376</v>
      </c>
      <c r="D142" s="36" t="s">
        <v>377</v>
      </c>
      <c r="E142" s="45" t="s">
        <v>458</v>
      </c>
      <c r="F142" s="43" t="s">
        <v>459</v>
      </c>
      <c r="G142" s="3" t="s">
        <v>37</v>
      </c>
      <c r="I142" s="3" t="s">
        <v>37</v>
      </c>
      <c r="L142" s="5" t="s">
        <v>460</v>
      </c>
      <c r="R142" s="7">
        <v>1</v>
      </c>
      <c r="S142" s="7">
        <v>1</v>
      </c>
    </row>
    <row r="143" spans="1:1024" ht="30">
      <c r="A143" s="35">
        <v>3</v>
      </c>
      <c r="B143" s="35" t="s">
        <v>327</v>
      </c>
      <c r="C143" s="36" t="s">
        <v>376</v>
      </c>
      <c r="D143" s="36" t="s">
        <v>377</v>
      </c>
      <c r="E143" s="45" t="s">
        <v>461</v>
      </c>
      <c r="F143" s="43" t="s">
        <v>462</v>
      </c>
      <c r="G143" s="3" t="s">
        <v>37</v>
      </c>
      <c r="I143" s="3" t="s">
        <v>37</v>
      </c>
      <c r="L143" s="5" t="s">
        <v>463</v>
      </c>
      <c r="R143" s="7">
        <v>1</v>
      </c>
      <c r="S143" s="7">
        <v>1</v>
      </c>
    </row>
    <row r="144" spans="1:1024"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1024">
      <c r="A161" s="35">
        <v>4</v>
      </c>
      <c r="B161" s="35" t="s">
        <v>327</v>
      </c>
      <c r="C161" s="36" t="s">
        <v>510</v>
      </c>
      <c r="D161" s="36" t="s">
        <v>511</v>
      </c>
      <c r="E161" s="45" t="s">
        <v>518</v>
      </c>
      <c r="F161" s="59" t="s">
        <v>519</v>
      </c>
      <c r="G161" s="36" t="s">
        <v>70</v>
      </c>
      <c r="H161" s="47" t="s">
        <v>520</v>
      </c>
      <c r="I161" s="47" t="s">
        <v>234</v>
      </c>
      <c r="J161" s="48"/>
      <c r="K161" s="49"/>
      <c r="L161" s="58" t="s">
        <v>97</v>
      </c>
    </row>
    <row r="162" spans="1:1024">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c r="A171" s="35">
        <v>7</v>
      </c>
      <c r="B171" s="35" t="s">
        <v>544</v>
      </c>
      <c r="C171" s="36" t="s">
        <v>545</v>
      </c>
      <c r="D171" s="36" t="s">
        <v>526</v>
      </c>
      <c r="E171" s="45" t="s">
        <v>546</v>
      </c>
      <c r="F171" s="37" t="s">
        <v>547</v>
      </c>
      <c r="G171" s="36" t="s">
        <v>37</v>
      </c>
      <c r="H171" s="47"/>
      <c r="I171" s="47" t="s">
        <v>37</v>
      </c>
      <c r="J171" s="48"/>
      <c r="K171" s="49"/>
      <c r="L171" s="5" t="s">
        <v>548</v>
      </c>
      <c r="W171" s="7">
        <v>1</v>
      </c>
    </row>
    <row r="172" spans="1:1024">
      <c r="A172" s="35">
        <v>7</v>
      </c>
      <c r="B172" s="35" t="s">
        <v>544</v>
      </c>
      <c r="C172" s="36" t="s">
        <v>545</v>
      </c>
      <c r="D172" s="36" t="s">
        <v>526</v>
      </c>
      <c r="E172" s="45" t="s">
        <v>549</v>
      </c>
      <c r="F172" s="37" t="s">
        <v>550</v>
      </c>
      <c r="G172" s="36" t="s">
        <v>37</v>
      </c>
      <c r="H172" s="47"/>
      <c r="I172" s="47" t="s">
        <v>37</v>
      </c>
      <c r="J172" s="48"/>
      <c r="K172" s="49"/>
      <c r="L172" s="5" t="s">
        <v>551</v>
      </c>
      <c r="W172" s="7">
        <v>1</v>
      </c>
    </row>
    <row r="173" spans="1:1024">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0">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0">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36"/>
  <sheetViews>
    <sheetView zoomScale="85" zoomScaleNormal="85" workbookViewId="0">
      <pane xSplit="7" ySplit="8" topLeftCell="H75" activePane="bottomRight" state="frozen"/>
      <selection pane="bottomRight" activeCell="K120" sqref="K120"/>
      <selection pane="bottomLeft" activeCell="A9" sqref="A9"/>
      <selection pane="topRight" activeCell="H1" sqref="H1"/>
    </sheetView>
  </sheetViews>
  <sheetFormatPr defaultColWidth="9.5" defaultRowHeight="12" customHeight="1"/>
  <cols>
    <col min="1" max="1" width="4.625" style="128" customWidth="1"/>
    <col min="2" max="2" width="27.125" style="128" customWidth="1"/>
    <col min="3" max="3" width="29.375" style="128" customWidth="1"/>
    <col min="4" max="4" width="27.375" style="128" customWidth="1"/>
    <col min="5" max="5" width="20" style="128" customWidth="1"/>
    <col min="6" max="6" width="8.625" style="128" customWidth="1"/>
    <col min="7" max="7" width="14.625" style="96" customWidth="1"/>
    <col min="8" max="8" width="53.125" style="96" customWidth="1"/>
    <col min="9" max="9" width="33.5" style="225" customWidth="1"/>
    <col min="10" max="10" width="12" style="96" customWidth="1"/>
    <col min="11" max="11" width="17.875" style="159" customWidth="1"/>
    <col min="12" max="13" width="4.875" style="96" hidden="1" customWidth="1"/>
    <col min="14" max="15" width="6.125" style="96" hidden="1" customWidth="1"/>
    <col min="16" max="16" width="6.625" style="173" hidden="1" customWidth="1"/>
    <col min="17" max="17" width="10.5" style="96" customWidth="1"/>
    <col min="18" max="18" width="6" style="96" customWidth="1"/>
    <col min="19" max="19" width="18.5" style="96" customWidth="1"/>
    <col min="20" max="20" width="12.625" style="278" customWidth="1"/>
    <col min="21" max="21" width="28.125" style="96" customWidth="1"/>
    <col min="22" max="22" width="8.875" style="96" customWidth="1"/>
    <col min="23" max="23" width="8.125" style="96" customWidth="1"/>
    <col min="24" max="24" width="2.375" customWidth="1"/>
    <col min="25" max="25" width="22.625" style="179" customWidth="1"/>
    <col min="26" max="26" width="24.375" style="96" customWidth="1"/>
    <col min="27" max="27" width="24.5" style="159" customWidth="1"/>
    <col min="28" max="28" width="17.5" style="96" customWidth="1"/>
    <col min="30" max="30" width="8" style="96" customWidth="1"/>
    <col min="31" max="31" width="9.125" style="96"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0.94915254237288138</v>
      </c>
      <c r="G1" s="128"/>
      <c r="H1" s="589" t="s">
        <v>911</v>
      </c>
      <c r="I1" s="589"/>
      <c r="J1" s="589"/>
      <c r="O1" s="590" t="s">
        <v>816</v>
      </c>
      <c r="P1" s="590"/>
      <c r="AC1" s="96"/>
      <c r="AF1" s="128"/>
      <c r="ALZ1"/>
    </row>
    <row r="2" spans="1:1014" ht="13.5" customHeight="1">
      <c r="C2" s="141" t="s">
        <v>818</v>
      </c>
      <c r="D2" s="285"/>
      <c r="E2" s="152" t="s">
        <v>819</v>
      </c>
      <c r="F2" s="157">
        <f>createCase[[#Totals],[NexSIS]] / createCase[[#Totals],[ID]]</f>
        <v>0.47457627118644069</v>
      </c>
      <c r="G2" s="128"/>
      <c r="H2" s="589"/>
      <c r="I2" s="589"/>
      <c r="J2" s="589"/>
      <c r="AC2" s="96"/>
      <c r="AF2" s="128"/>
      <c r="ALZ2"/>
    </row>
    <row r="3" spans="1:1014" ht="13.5" customHeight="1">
      <c r="C3" s="142" t="s">
        <v>821</v>
      </c>
      <c r="E3" s="151" t="s">
        <v>822</v>
      </c>
      <c r="G3" s="128"/>
      <c r="AC3" s="96"/>
      <c r="AF3" s="128"/>
      <c r="ALZ3"/>
    </row>
    <row r="4" spans="1:1014" ht="13.5" customHeight="1">
      <c r="C4" s="143" t="s">
        <v>824</v>
      </c>
      <c r="E4" s="153" t="s">
        <v>825</v>
      </c>
      <c r="G4" s="137"/>
      <c r="AC4" s="96"/>
      <c r="AF4" s="128"/>
      <c r="ALZ4"/>
    </row>
    <row r="5" spans="1:1014"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E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F6" s="128"/>
      <c r="ALZ6"/>
    </row>
    <row r="7" spans="1:1014" ht="13.5" customHeight="1">
      <c r="A7"/>
      <c r="B7"/>
      <c r="C7" s="138"/>
      <c r="D7" s="378"/>
      <c r="E7" s="138"/>
      <c r="F7" s="138"/>
      <c r="L7" s="591" t="s">
        <v>828</v>
      </c>
      <c r="M7" s="591"/>
      <c r="N7" s="591"/>
      <c r="O7" s="591"/>
      <c r="V7" s="592" t="s">
        <v>829</v>
      </c>
      <c r="W7" s="592"/>
      <c r="AC7" s="591" t="s">
        <v>830</v>
      </c>
      <c r="AD7" s="591"/>
      <c r="AE7" s="570" t="s">
        <v>829</v>
      </c>
      <c r="AF7" s="128"/>
      <c r="ALZ7"/>
    </row>
    <row r="8" spans="1:1014"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c r="AE8" s="229" t="s">
        <v>1601</v>
      </c>
    </row>
    <row r="9" spans="1:1014" s="224" customFormat="1" ht="13.5" customHeight="1">
      <c r="A9" s="225">
        <v>1</v>
      </c>
      <c r="B9" s="217" t="s">
        <v>916</v>
      </c>
      <c r="C9" s="240"/>
      <c r="D9" s="610"/>
      <c r="E9" s="610"/>
      <c r="F9" s="610"/>
      <c r="G9" s="610"/>
      <c r="H9" s="575" t="s">
        <v>1602</v>
      </c>
      <c r="I9" s="317" t="s">
        <v>1603</v>
      </c>
      <c r="J9" s="575" t="s">
        <v>1604</v>
      </c>
      <c r="K9" s="611" t="s">
        <v>919</v>
      </c>
      <c r="L9" s="575" t="s">
        <v>1605</v>
      </c>
      <c r="M9" s="575" t="s">
        <v>1606</v>
      </c>
      <c r="N9" s="575"/>
      <c r="O9" s="575"/>
      <c r="P9" s="612">
        <v>1</v>
      </c>
      <c r="Q9" s="575" t="s">
        <v>820</v>
      </c>
      <c r="R9" s="575"/>
      <c r="S9" s="575" t="s">
        <v>863</v>
      </c>
      <c r="T9" s="613"/>
      <c r="U9" s="575"/>
      <c r="V9" s="614" t="s">
        <v>864</v>
      </c>
      <c r="W9" s="614" t="s">
        <v>864</v>
      </c>
      <c r="X9" s="232"/>
      <c r="Y9" s="615"/>
      <c r="Z9" s="575" t="s">
        <v>920</v>
      </c>
      <c r="AA9" s="616" t="s">
        <v>921</v>
      </c>
      <c r="AB9" s="575"/>
      <c r="AC9" s="613">
        <v>1</v>
      </c>
      <c r="AD9" s="613">
        <v>1</v>
      </c>
      <c r="AE9" s="614" t="s">
        <v>864</v>
      </c>
    </row>
    <row r="10" spans="1:1014" s="224" customFormat="1" ht="13.5" customHeight="1">
      <c r="A10" s="225">
        <v>2</v>
      </c>
      <c r="B10" s="253" t="s">
        <v>945</v>
      </c>
      <c r="C10" s="221"/>
      <c r="D10" s="221"/>
      <c r="E10" s="221"/>
      <c r="F10" s="221"/>
      <c r="G10" s="221"/>
      <c r="H10" s="575" t="s">
        <v>946</v>
      </c>
      <c r="I10" s="131" t="s">
        <v>947</v>
      </c>
      <c r="J10" s="575"/>
      <c r="K10" s="611" t="s">
        <v>925</v>
      </c>
      <c r="L10" s="575" t="s">
        <v>926</v>
      </c>
      <c r="M10" s="575" t="s">
        <v>927</v>
      </c>
      <c r="N10" s="575"/>
      <c r="O10" s="575"/>
      <c r="P10" s="612"/>
      <c r="Q10" s="575" t="s">
        <v>817</v>
      </c>
      <c r="R10" s="575"/>
      <c r="S10" s="575" t="s">
        <v>863</v>
      </c>
      <c r="T10" s="613"/>
      <c r="U10" s="575"/>
      <c r="V10" s="614" t="s">
        <v>864</v>
      </c>
      <c r="W10" s="614" t="s">
        <v>864</v>
      </c>
      <c r="X10" s="232"/>
      <c r="Y10" s="615"/>
      <c r="Z10" s="575"/>
      <c r="AA10" s="616"/>
      <c r="AB10" s="575"/>
      <c r="AC10" s="613">
        <v>1</v>
      </c>
      <c r="AD10" s="613">
        <v>1</v>
      </c>
      <c r="AE10" s="614" t="s">
        <v>864</v>
      </c>
    </row>
    <row r="11" spans="1:1014" s="224" customFormat="1" ht="13.5" customHeight="1">
      <c r="A11" s="225">
        <v>3</v>
      </c>
      <c r="B11" s="217" t="s">
        <v>948</v>
      </c>
      <c r="C11" s="240"/>
      <c r="D11" s="241"/>
      <c r="E11" s="241"/>
      <c r="F11" s="241"/>
      <c r="G11" s="241"/>
      <c r="H11" s="575" t="s">
        <v>949</v>
      </c>
      <c r="I11" s="611" t="s">
        <v>930</v>
      </c>
      <c r="J11" s="575" t="s">
        <v>950</v>
      </c>
      <c r="K11" s="611" t="s">
        <v>931</v>
      </c>
      <c r="L11" s="575"/>
      <c r="M11" s="575"/>
      <c r="N11" s="575"/>
      <c r="O11" s="575"/>
      <c r="P11" s="612">
        <v>1</v>
      </c>
      <c r="Q11" s="575" t="s">
        <v>820</v>
      </c>
      <c r="R11" s="575"/>
      <c r="S11" s="575" t="s">
        <v>879</v>
      </c>
      <c r="T11" s="613"/>
      <c r="U11" s="575" t="s">
        <v>932</v>
      </c>
      <c r="V11" s="614" t="s">
        <v>864</v>
      </c>
      <c r="W11" s="614" t="s">
        <v>864</v>
      </c>
      <c r="X11" s="232"/>
      <c r="Y11" s="615"/>
      <c r="Z11" s="575"/>
      <c r="AA11" s="616"/>
      <c r="AB11" s="575"/>
      <c r="AC11" s="613">
        <v>1</v>
      </c>
      <c r="AD11" s="613">
        <v>1</v>
      </c>
      <c r="AE11" s="614" t="s">
        <v>864</v>
      </c>
    </row>
    <row r="12" spans="1:1014" s="224" customFormat="1" ht="13.5" customHeight="1">
      <c r="A12" s="225">
        <v>4</v>
      </c>
      <c r="B12" s="217" t="s">
        <v>1607</v>
      </c>
      <c r="C12" s="240"/>
      <c r="D12" s="241"/>
      <c r="E12" s="241"/>
      <c r="F12" s="241"/>
      <c r="G12" s="241"/>
      <c r="H12" s="575" t="s">
        <v>1608</v>
      </c>
      <c r="I12" s="611" t="s">
        <v>935</v>
      </c>
      <c r="J12" s="575" t="s">
        <v>953</v>
      </c>
      <c r="K12" s="611" t="s">
        <v>1609</v>
      </c>
      <c r="L12" s="575"/>
      <c r="M12" s="575"/>
      <c r="N12" s="575"/>
      <c r="O12" s="575"/>
      <c r="P12" s="612"/>
      <c r="Q12" s="575" t="s">
        <v>820</v>
      </c>
      <c r="R12" s="575"/>
      <c r="S12" s="575" t="s">
        <v>863</v>
      </c>
      <c r="T12" s="613"/>
      <c r="U12" s="575"/>
      <c r="V12" s="614" t="s">
        <v>864</v>
      </c>
      <c r="W12" s="614" t="s">
        <v>864</v>
      </c>
      <c r="X12" s="232"/>
      <c r="Y12" s="615"/>
      <c r="Z12" s="575"/>
      <c r="AA12" s="616"/>
      <c r="AB12" s="575"/>
      <c r="AC12" s="613">
        <v>1</v>
      </c>
      <c r="AD12" s="613">
        <v>1</v>
      </c>
      <c r="AE12" s="614"/>
    </row>
    <row r="13" spans="1:1014" s="224" customFormat="1" ht="13.5" customHeight="1">
      <c r="A13" s="225">
        <v>5</v>
      </c>
      <c r="B13" s="217" t="s">
        <v>960</v>
      </c>
      <c r="C13" s="610"/>
      <c r="D13" s="241"/>
      <c r="E13" s="241"/>
      <c r="F13" s="241"/>
      <c r="G13" s="241"/>
      <c r="H13" s="575" t="s">
        <v>961</v>
      </c>
      <c r="I13" s="611"/>
      <c r="J13" s="575" t="s">
        <v>962</v>
      </c>
      <c r="K13" s="611" t="s">
        <v>963</v>
      </c>
      <c r="L13" s="575"/>
      <c r="M13" s="575"/>
      <c r="N13" s="575"/>
      <c r="O13" s="575"/>
      <c r="P13" s="612"/>
      <c r="Q13" s="575" t="s">
        <v>820</v>
      </c>
      <c r="R13" s="575" t="s">
        <v>864</v>
      </c>
      <c r="S13" s="243" t="s">
        <v>963</v>
      </c>
      <c r="T13" s="613"/>
      <c r="U13" s="575"/>
      <c r="V13" s="614" t="s">
        <v>864</v>
      </c>
      <c r="W13" s="614" t="s">
        <v>864</v>
      </c>
      <c r="X13" s="232"/>
      <c r="Y13" s="615"/>
      <c r="Z13" s="575"/>
      <c r="AA13" s="616"/>
      <c r="AB13" s="575"/>
      <c r="AC13" s="613">
        <v>1</v>
      </c>
      <c r="AD13" s="613">
        <v>1</v>
      </c>
      <c r="AE13" s="614" t="s">
        <v>864</v>
      </c>
    </row>
    <row r="14" spans="1:1014" s="224" customFormat="1" ht="13.5" customHeight="1">
      <c r="A14" s="225">
        <v>6</v>
      </c>
      <c r="B14" s="217"/>
      <c r="C14" s="610" t="s">
        <v>984</v>
      </c>
      <c r="D14" s="241"/>
      <c r="E14" s="241"/>
      <c r="F14" s="241"/>
      <c r="G14" s="241"/>
      <c r="H14" s="575" t="s">
        <v>970</v>
      </c>
      <c r="I14" s="611"/>
      <c r="J14" s="575" t="s">
        <v>987</v>
      </c>
      <c r="K14" s="611"/>
      <c r="L14" s="575" t="s">
        <v>972</v>
      </c>
      <c r="M14" s="575" t="s">
        <v>973</v>
      </c>
      <c r="N14" s="575"/>
      <c r="O14" s="575"/>
      <c r="P14" s="612">
        <v>1</v>
      </c>
      <c r="Q14" s="575" t="s">
        <v>820</v>
      </c>
      <c r="R14" s="575" t="s">
        <v>864</v>
      </c>
      <c r="S14" s="575" t="s">
        <v>974</v>
      </c>
      <c r="T14" s="613"/>
      <c r="U14" s="575"/>
      <c r="V14" s="614" t="s">
        <v>864</v>
      </c>
      <c r="W14" s="614" t="s">
        <v>864</v>
      </c>
      <c r="X14" s="232"/>
      <c r="Y14" s="615"/>
      <c r="Z14" s="575" t="s">
        <v>975</v>
      </c>
      <c r="AA14" s="616"/>
      <c r="AB14" s="575"/>
      <c r="AC14" s="613">
        <v>1</v>
      </c>
      <c r="AD14" s="613">
        <v>1</v>
      </c>
      <c r="AE14" s="614" t="s">
        <v>864</v>
      </c>
    </row>
    <row r="15" spans="1:1014" s="224" customFormat="1" ht="13.5" customHeight="1">
      <c r="A15" s="225">
        <v>7</v>
      </c>
      <c r="B15" s="217"/>
      <c r="C15" s="610"/>
      <c r="D15" s="241" t="s">
        <v>667</v>
      </c>
      <c r="E15" s="241"/>
      <c r="F15" s="241"/>
      <c r="G15" s="241"/>
      <c r="H15" s="575" t="s">
        <v>976</v>
      </c>
      <c r="I15" s="611" t="s">
        <v>977</v>
      </c>
      <c r="J15" s="575" t="s">
        <v>978</v>
      </c>
      <c r="K15" s="611"/>
      <c r="L15" s="575"/>
      <c r="M15" s="575"/>
      <c r="N15" s="575"/>
      <c r="O15" s="575"/>
      <c r="P15" s="612">
        <v>1</v>
      </c>
      <c r="Q15" s="575" t="s">
        <v>820</v>
      </c>
      <c r="R15" s="575"/>
      <c r="S15" s="575" t="s">
        <v>863</v>
      </c>
      <c r="T15" s="613"/>
      <c r="U15" s="575"/>
      <c r="V15" s="614" t="s">
        <v>864</v>
      </c>
      <c r="W15" s="614" t="s">
        <v>864</v>
      </c>
      <c r="X15" s="232"/>
      <c r="Y15" s="615"/>
      <c r="Z15" s="575" t="s">
        <v>975</v>
      </c>
      <c r="AA15" s="616"/>
      <c r="AB15" s="575"/>
      <c r="AC15" s="613">
        <v>1</v>
      </c>
      <c r="AD15" s="613">
        <v>1</v>
      </c>
      <c r="AE15" s="614" t="s">
        <v>864</v>
      </c>
    </row>
    <row r="16" spans="1:1014" s="224" customFormat="1" ht="13.5" customHeight="1">
      <c r="A16" s="225">
        <v>8</v>
      </c>
      <c r="B16" s="217"/>
      <c r="C16" s="610"/>
      <c r="D16" s="241" t="s">
        <v>979</v>
      </c>
      <c r="E16" s="241"/>
      <c r="F16" s="241"/>
      <c r="G16" s="241"/>
      <c r="H16" s="575" t="s">
        <v>980</v>
      </c>
      <c r="I16" s="611" t="s">
        <v>981</v>
      </c>
      <c r="J16" s="575" t="s">
        <v>982</v>
      </c>
      <c r="K16" s="611"/>
      <c r="L16" s="575"/>
      <c r="M16" s="575"/>
      <c r="N16" s="575"/>
      <c r="O16" s="575"/>
      <c r="P16" s="612">
        <v>1</v>
      </c>
      <c r="Q16" s="575" t="s">
        <v>820</v>
      </c>
      <c r="R16" s="575"/>
      <c r="S16" s="575" t="s">
        <v>863</v>
      </c>
      <c r="T16" s="613"/>
      <c r="U16" s="575"/>
      <c r="V16" s="614" t="s">
        <v>864</v>
      </c>
      <c r="W16" s="614" t="s">
        <v>864</v>
      </c>
      <c r="X16" s="232"/>
      <c r="Y16" s="615"/>
      <c r="Z16" s="575" t="s">
        <v>975</v>
      </c>
      <c r="AA16" s="616"/>
      <c r="AB16" s="575"/>
      <c r="AC16" s="613">
        <v>1</v>
      </c>
      <c r="AD16" s="613">
        <v>1</v>
      </c>
      <c r="AE16" s="614" t="s">
        <v>864</v>
      </c>
    </row>
    <row r="17" spans="1:31" s="224" customFormat="1" ht="13.5" customHeight="1">
      <c r="A17" s="225">
        <v>9</v>
      </c>
      <c r="B17" s="217"/>
      <c r="C17" s="610"/>
      <c r="D17" s="241" t="s">
        <v>767</v>
      </c>
      <c r="E17" s="241"/>
      <c r="F17" s="241"/>
      <c r="G17" s="241"/>
      <c r="H17" s="575" t="s">
        <v>983</v>
      </c>
      <c r="I17" s="611"/>
      <c r="J17" s="575" t="s">
        <v>939</v>
      </c>
      <c r="K17" s="611"/>
      <c r="L17" s="575"/>
      <c r="M17" s="575"/>
      <c r="N17" s="575"/>
      <c r="O17" s="575"/>
      <c r="P17" s="612"/>
      <c r="Q17" s="575" t="s">
        <v>817</v>
      </c>
      <c r="R17" s="575"/>
      <c r="S17" s="575" t="s">
        <v>863</v>
      </c>
      <c r="T17" s="613"/>
      <c r="U17" s="575"/>
      <c r="V17" s="614" t="s">
        <v>864</v>
      </c>
      <c r="W17" s="614" t="s">
        <v>864</v>
      </c>
      <c r="X17" s="232"/>
      <c r="Y17" s="615"/>
      <c r="Z17" s="575" t="s">
        <v>975</v>
      </c>
      <c r="AA17" s="616"/>
      <c r="AB17" s="575"/>
      <c r="AC17" s="613">
        <v>1</v>
      </c>
      <c r="AD17" s="613">
        <v>1</v>
      </c>
      <c r="AE17" s="614" t="s">
        <v>864</v>
      </c>
    </row>
    <row r="18" spans="1:31" s="224" customFormat="1" ht="13.5" customHeight="1">
      <c r="A18" s="225">
        <v>10</v>
      </c>
      <c r="B18" s="217"/>
      <c r="C18" s="610" t="s">
        <v>969</v>
      </c>
      <c r="D18" s="241" t="s">
        <v>985</v>
      </c>
      <c r="E18" s="241"/>
      <c r="F18" s="241"/>
      <c r="G18" s="241"/>
      <c r="H18" s="575" t="s">
        <v>986</v>
      </c>
      <c r="I18" s="611"/>
      <c r="J18" s="575" t="s">
        <v>971</v>
      </c>
      <c r="K18" s="611"/>
      <c r="L18" s="575" t="s">
        <v>988</v>
      </c>
      <c r="M18" s="575" t="s">
        <v>989</v>
      </c>
      <c r="N18" s="575"/>
      <c r="O18" s="575"/>
      <c r="P18" s="612">
        <v>1</v>
      </c>
      <c r="Q18" s="575" t="s">
        <v>817</v>
      </c>
      <c r="R18" s="575" t="s">
        <v>864</v>
      </c>
      <c r="S18" s="575" t="s">
        <v>974</v>
      </c>
      <c r="T18" s="613"/>
      <c r="U18" s="575"/>
      <c r="V18" s="614" t="s">
        <v>864</v>
      </c>
      <c r="W18" s="614" t="s">
        <v>864</v>
      </c>
      <c r="X18" s="232"/>
      <c r="Y18" s="615"/>
      <c r="Z18" s="575" t="s">
        <v>975</v>
      </c>
      <c r="AA18" s="616"/>
      <c r="AB18" s="575"/>
      <c r="AC18" s="613">
        <v>1</v>
      </c>
      <c r="AD18" s="613">
        <v>1</v>
      </c>
      <c r="AE18" s="614" t="s">
        <v>864</v>
      </c>
    </row>
    <row r="19" spans="1:31" s="224" customFormat="1" ht="13.5" customHeight="1">
      <c r="A19" s="225">
        <v>11</v>
      </c>
      <c r="B19" s="217"/>
      <c r="C19" s="610" t="s">
        <v>990</v>
      </c>
      <c r="D19" s="241" t="s">
        <v>985</v>
      </c>
      <c r="E19" s="241"/>
      <c r="F19" s="241"/>
      <c r="G19" s="241"/>
      <c r="H19" s="575" t="s">
        <v>991</v>
      </c>
      <c r="I19" s="611"/>
      <c r="J19" s="575" t="s">
        <v>992</v>
      </c>
      <c r="K19" s="611"/>
      <c r="L19" s="575"/>
      <c r="M19" s="575"/>
      <c r="N19" s="575"/>
      <c r="O19" s="575"/>
      <c r="P19" s="612">
        <v>1</v>
      </c>
      <c r="Q19" s="575" t="s">
        <v>823</v>
      </c>
      <c r="R19" s="575" t="s">
        <v>864</v>
      </c>
      <c r="S19" s="575" t="s">
        <v>974</v>
      </c>
      <c r="T19" s="613"/>
      <c r="U19" s="575"/>
      <c r="V19" s="614" t="s">
        <v>864</v>
      </c>
      <c r="W19" s="614" t="s">
        <v>864</v>
      </c>
      <c r="X19" s="232"/>
      <c r="Y19" s="615"/>
      <c r="Z19" s="575" t="s">
        <v>975</v>
      </c>
      <c r="AA19" s="616"/>
      <c r="AB19" s="575"/>
      <c r="AC19" s="613">
        <v>1</v>
      </c>
      <c r="AD19" s="613">
        <v>1</v>
      </c>
      <c r="AE19" s="614" t="s">
        <v>864</v>
      </c>
    </row>
    <row r="20" spans="1:31" s="224" customFormat="1" ht="13.5" customHeight="1">
      <c r="A20" s="225">
        <v>12</v>
      </c>
      <c r="B20" s="217"/>
      <c r="C20" s="610" t="s">
        <v>993</v>
      </c>
      <c r="D20" s="241" t="s">
        <v>985</v>
      </c>
      <c r="E20" s="241"/>
      <c r="F20" s="241"/>
      <c r="G20" s="241"/>
      <c r="H20" s="575" t="s">
        <v>994</v>
      </c>
      <c r="I20" s="611"/>
      <c r="J20" s="575" t="s">
        <v>995</v>
      </c>
      <c r="K20" s="611"/>
      <c r="L20" s="575"/>
      <c r="M20" s="575"/>
      <c r="N20" s="575"/>
      <c r="O20" s="575"/>
      <c r="P20" s="612">
        <v>1</v>
      </c>
      <c r="Q20" s="575" t="s">
        <v>817</v>
      </c>
      <c r="R20" s="575" t="s">
        <v>864</v>
      </c>
      <c r="S20" s="575" t="s">
        <v>974</v>
      </c>
      <c r="T20" s="613"/>
      <c r="U20" s="263"/>
      <c r="V20" s="614" t="s">
        <v>864</v>
      </c>
      <c r="W20" s="614" t="s">
        <v>864</v>
      </c>
      <c r="X20" s="232"/>
      <c r="Y20" s="615"/>
      <c r="Z20" s="575" t="s">
        <v>975</v>
      </c>
      <c r="AA20" s="616"/>
      <c r="AB20" s="575"/>
      <c r="AC20" s="613">
        <v>1</v>
      </c>
      <c r="AD20" s="613"/>
      <c r="AE20" s="614" t="s">
        <v>864</v>
      </c>
    </row>
    <row r="21" spans="1:31" s="224" customFormat="1" ht="13.5" customHeight="1">
      <c r="A21" s="225">
        <v>13</v>
      </c>
      <c r="B21" s="217"/>
      <c r="C21" s="610" t="s">
        <v>996</v>
      </c>
      <c r="D21" s="241"/>
      <c r="E21" s="241"/>
      <c r="F21" s="241"/>
      <c r="G21" s="241"/>
      <c r="H21" s="263"/>
      <c r="I21" s="611"/>
      <c r="J21" s="575"/>
      <c r="K21" s="575" t="s">
        <v>997</v>
      </c>
      <c r="L21" s="575"/>
      <c r="M21" s="575"/>
      <c r="N21" s="575"/>
      <c r="O21" s="575"/>
      <c r="P21" s="612"/>
      <c r="Q21" s="575" t="s">
        <v>817</v>
      </c>
      <c r="R21" s="575" t="s">
        <v>864</v>
      </c>
      <c r="S21" s="243" t="s">
        <v>998</v>
      </c>
      <c r="T21" s="613"/>
      <c r="U21" s="575"/>
      <c r="V21" s="614"/>
      <c r="W21" s="614" t="s">
        <v>864</v>
      </c>
      <c r="X21" s="232"/>
      <c r="Y21" s="615"/>
      <c r="Z21" s="575" t="s">
        <v>999</v>
      </c>
      <c r="AA21" s="616"/>
      <c r="AB21" s="575"/>
      <c r="AC21" s="613"/>
      <c r="AD21" s="613">
        <v>1</v>
      </c>
      <c r="AE21" s="614"/>
    </row>
    <row r="22" spans="1:31" s="224" customFormat="1" ht="13.5" customHeight="1">
      <c r="A22" s="225">
        <v>14</v>
      </c>
      <c r="B22" s="217"/>
      <c r="C22" s="610"/>
      <c r="D22" s="241" t="s">
        <v>495</v>
      </c>
      <c r="E22" s="241"/>
      <c r="F22" s="241"/>
      <c r="G22" s="241"/>
      <c r="H22" s="263" t="s">
        <v>1000</v>
      </c>
      <c r="I22" s="611"/>
      <c r="J22" s="575"/>
      <c r="K22" s="575" t="s">
        <v>888</v>
      </c>
      <c r="L22" s="575"/>
      <c r="M22" s="575"/>
      <c r="N22" s="575"/>
      <c r="O22" s="575"/>
      <c r="P22" s="612"/>
      <c r="Q22" s="575" t="s">
        <v>817</v>
      </c>
      <c r="R22" s="575"/>
      <c r="S22" s="575" t="s">
        <v>863</v>
      </c>
      <c r="T22" s="613" t="s">
        <v>864</v>
      </c>
      <c r="U22" s="575" t="s">
        <v>1001</v>
      </c>
      <c r="V22" s="614"/>
      <c r="W22" s="614" t="s">
        <v>864</v>
      </c>
      <c r="X22" s="232"/>
      <c r="Y22" s="615"/>
      <c r="Z22" s="266" t="s">
        <v>1002</v>
      </c>
      <c r="AA22" s="616"/>
      <c r="AB22" s="575"/>
      <c r="AC22" s="613"/>
      <c r="AD22" s="613">
        <v>1</v>
      </c>
      <c r="AE22" s="614"/>
    </row>
    <row r="23" spans="1:31" s="224" customFormat="1" ht="13.5" customHeight="1">
      <c r="A23" s="225">
        <v>15</v>
      </c>
      <c r="B23" s="217"/>
      <c r="C23" s="610"/>
      <c r="D23" s="241" t="s">
        <v>956</v>
      </c>
      <c r="E23" s="241"/>
      <c r="F23" s="241"/>
      <c r="G23" s="241"/>
      <c r="H23" s="575" t="s">
        <v>1003</v>
      </c>
      <c r="I23" s="611" t="s">
        <v>1004</v>
      </c>
      <c r="J23" s="575"/>
      <c r="K23" s="575" t="s">
        <v>958</v>
      </c>
      <c r="L23" s="575"/>
      <c r="M23" s="575"/>
      <c r="N23" s="575"/>
      <c r="O23" s="575"/>
      <c r="P23" s="612"/>
      <c r="Q23" s="575" t="s">
        <v>817</v>
      </c>
      <c r="R23" s="575"/>
      <c r="S23" s="575" t="s">
        <v>863</v>
      </c>
      <c r="T23" s="613" t="s">
        <v>864</v>
      </c>
      <c r="U23" s="575" t="s">
        <v>1005</v>
      </c>
      <c r="V23" s="614"/>
      <c r="W23" s="614" t="s">
        <v>864</v>
      </c>
      <c r="X23" s="232"/>
      <c r="Y23" s="615"/>
      <c r="Z23" s="266" t="s">
        <v>1006</v>
      </c>
      <c r="AA23" s="616"/>
      <c r="AB23" s="575"/>
      <c r="AC23" s="613"/>
      <c r="AD23" s="613">
        <v>1</v>
      </c>
      <c r="AE23" s="614"/>
    </row>
    <row r="24" spans="1:31" s="224" customFormat="1" ht="13.5" customHeight="1">
      <c r="A24" s="225">
        <v>16</v>
      </c>
      <c r="B24" s="217"/>
      <c r="C24" s="610"/>
      <c r="D24" s="610" t="s">
        <v>1007</v>
      </c>
      <c r="E24" s="241"/>
      <c r="F24" s="241"/>
      <c r="G24" s="241"/>
      <c r="H24" s="263" t="s">
        <v>1008</v>
      </c>
      <c r="I24" s="131" t="s">
        <v>1009</v>
      </c>
      <c r="J24" s="575"/>
      <c r="K24" s="611" t="s">
        <v>1010</v>
      </c>
      <c r="L24" s="575"/>
      <c r="M24" s="575"/>
      <c r="N24" s="575"/>
      <c r="O24" s="575"/>
      <c r="P24" s="612"/>
      <c r="Q24" s="575" t="s">
        <v>817</v>
      </c>
      <c r="R24" s="575"/>
      <c r="S24" s="575" t="s">
        <v>863</v>
      </c>
      <c r="T24" s="374"/>
      <c r="U24" s="374"/>
      <c r="V24" s="614"/>
      <c r="W24" s="614" t="s">
        <v>864</v>
      </c>
      <c r="X24" s="232"/>
      <c r="Y24" s="387" t="s">
        <v>1011</v>
      </c>
      <c r="Z24" s="575" t="s">
        <v>1012</v>
      </c>
      <c r="AA24" s="616"/>
      <c r="AB24" s="575"/>
      <c r="AC24" s="613"/>
      <c r="AD24" s="613">
        <v>1</v>
      </c>
      <c r="AE24" s="614"/>
    </row>
    <row r="25" spans="1:31" s="224" customFormat="1" ht="13.5" customHeight="1">
      <c r="A25" s="225">
        <v>17</v>
      </c>
      <c r="B25" s="217"/>
      <c r="C25" s="610"/>
      <c r="D25" s="610" t="s">
        <v>1013</v>
      </c>
      <c r="E25" s="241"/>
      <c r="F25" s="241"/>
      <c r="G25" s="241"/>
      <c r="H25" s="575" t="s">
        <v>1014</v>
      </c>
      <c r="I25" s="611" t="s">
        <v>1015</v>
      </c>
      <c r="J25" s="575"/>
      <c r="K25" s="611" t="s">
        <v>967</v>
      </c>
      <c r="L25" s="575"/>
      <c r="M25" s="575"/>
      <c r="N25" s="575"/>
      <c r="O25" s="575"/>
      <c r="P25" s="612"/>
      <c r="Q25" s="575" t="s">
        <v>817</v>
      </c>
      <c r="R25" s="575"/>
      <c r="S25" s="575" t="s">
        <v>863</v>
      </c>
      <c r="T25" s="613"/>
      <c r="U25" s="263"/>
      <c r="V25" s="614"/>
      <c r="W25" s="614" t="s">
        <v>864</v>
      </c>
      <c r="X25" s="232"/>
      <c r="Y25" s="392" t="s">
        <v>1016</v>
      </c>
      <c r="Z25" s="263" t="s">
        <v>1017</v>
      </c>
      <c r="AA25" s="616"/>
      <c r="AB25" s="575"/>
      <c r="AC25" s="613"/>
      <c r="AD25" s="613">
        <v>1</v>
      </c>
      <c r="AE25" s="614"/>
    </row>
    <row r="26" spans="1:31" s="224" customFormat="1" ht="13.5" customHeight="1">
      <c r="A26" s="225">
        <v>18</v>
      </c>
      <c r="B26" s="217"/>
      <c r="C26" s="610" t="s">
        <v>1018</v>
      </c>
      <c r="D26" s="241"/>
      <c r="E26" s="241"/>
      <c r="F26" s="241"/>
      <c r="G26" s="241"/>
      <c r="H26" s="575"/>
      <c r="I26" s="611"/>
      <c r="J26" s="575" t="s">
        <v>1019</v>
      </c>
      <c r="K26" s="611"/>
      <c r="L26" s="575"/>
      <c r="M26" s="575"/>
      <c r="N26" s="575"/>
      <c r="O26" s="575"/>
      <c r="P26" s="612"/>
      <c r="Q26" s="575" t="s">
        <v>817</v>
      </c>
      <c r="R26" s="575" t="s">
        <v>864</v>
      </c>
      <c r="S26" s="243" t="s">
        <v>1019</v>
      </c>
      <c r="T26" s="613"/>
      <c r="U26" s="575"/>
      <c r="V26" s="614" t="s">
        <v>864</v>
      </c>
      <c r="W26" s="614" t="s">
        <v>864</v>
      </c>
      <c r="X26" s="232"/>
      <c r="Y26" s="615"/>
      <c r="Z26" s="575"/>
      <c r="AA26" s="616"/>
      <c r="AB26" s="575"/>
      <c r="AC26" s="613">
        <v>1</v>
      </c>
      <c r="AD26" s="613">
        <v>1</v>
      </c>
      <c r="AE26" s="614"/>
    </row>
    <row r="27" spans="1:31" s="224" customFormat="1" ht="13.5" customHeight="1">
      <c r="A27" s="225">
        <v>19</v>
      </c>
      <c r="B27" s="217"/>
      <c r="C27" s="610"/>
      <c r="D27" s="241" t="s">
        <v>1020</v>
      </c>
      <c r="E27" s="241"/>
      <c r="F27" s="241"/>
      <c r="G27" s="241"/>
      <c r="H27" s="575" t="s">
        <v>1021</v>
      </c>
      <c r="I27" s="611" t="s">
        <v>1022</v>
      </c>
      <c r="J27" s="575" t="s">
        <v>1023</v>
      </c>
      <c r="K27" s="611"/>
      <c r="L27" s="575" t="s">
        <v>1024</v>
      </c>
      <c r="M27" s="575" t="s">
        <v>1025</v>
      </c>
      <c r="N27" s="575"/>
      <c r="O27" s="575"/>
      <c r="P27" s="612"/>
      <c r="Q27" s="575" t="s">
        <v>817</v>
      </c>
      <c r="R27" s="575"/>
      <c r="S27" s="575" t="s">
        <v>863</v>
      </c>
      <c r="T27" s="613" t="s">
        <v>864</v>
      </c>
      <c r="U27" s="255" t="s">
        <v>1026</v>
      </c>
      <c r="V27" s="614" t="s">
        <v>864</v>
      </c>
      <c r="W27" s="614" t="s">
        <v>864</v>
      </c>
      <c r="X27" s="232"/>
      <c r="Y27" s="615"/>
      <c r="Z27" s="575"/>
      <c r="AA27" s="616"/>
      <c r="AB27" s="575"/>
      <c r="AC27" s="613">
        <v>1</v>
      </c>
      <c r="AD27" s="613">
        <v>1</v>
      </c>
      <c r="AE27" s="614"/>
    </row>
    <row r="28" spans="1:31" s="224" customFormat="1" ht="13.5" customHeight="1">
      <c r="A28" s="225">
        <v>20</v>
      </c>
      <c r="B28" s="217"/>
      <c r="C28" s="610"/>
      <c r="D28" s="241" t="s">
        <v>1027</v>
      </c>
      <c r="E28" s="241"/>
      <c r="F28" s="241"/>
      <c r="G28" s="241"/>
      <c r="H28" s="575" t="s">
        <v>1028</v>
      </c>
      <c r="I28" s="611" t="s">
        <v>1029</v>
      </c>
      <c r="J28" s="575" t="s">
        <v>1030</v>
      </c>
      <c r="K28" s="611"/>
      <c r="L28" s="575"/>
      <c r="M28" s="575"/>
      <c r="N28" s="575"/>
      <c r="O28" s="575"/>
      <c r="P28" s="612"/>
      <c r="Q28" s="575" t="s">
        <v>817</v>
      </c>
      <c r="R28" s="575"/>
      <c r="S28" s="575" t="s">
        <v>863</v>
      </c>
      <c r="T28" s="613" t="s">
        <v>864</v>
      </c>
      <c r="U28" s="575" t="s">
        <v>1031</v>
      </c>
      <c r="V28" s="614" t="s">
        <v>864</v>
      </c>
      <c r="W28" s="614" t="s">
        <v>864</v>
      </c>
      <c r="X28" s="232"/>
      <c r="Y28" s="615"/>
      <c r="Z28" s="575"/>
      <c r="AA28" s="616" t="s">
        <v>1032</v>
      </c>
      <c r="AB28" s="575"/>
      <c r="AC28" s="613">
        <v>1</v>
      </c>
      <c r="AD28" s="613">
        <v>1</v>
      </c>
      <c r="AE28" s="614"/>
    </row>
    <row r="29" spans="1:31" s="224" customFormat="1" ht="13.5" customHeight="1">
      <c r="A29" s="225">
        <v>21</v>
      </c>
      <c r="B29" s="217"/>
      <c r="C29" s="610"/>
      <c r="D29" s="241" t="s">
        <v>1033</v>
      </c>
      <c r="E29" s="241"/>
      <c r="F29" s="241"/>
      <c r="G29" s="241"/>
      <c r="H29" s="575" t="s">
        <v>1034</v>
      </c>
      <c r="I29" s="611" t="s">
        <v>1035</v>
      </c>
      <c r="J29" s="575" t="s">
        <v>939</v>
      </c>
      <c r="K29" s="611"/>
      <c r="L29" s="575"/>
      <c r="M29" s="575"/>
      <c r="N29" s="575"/>
      <c r="O29" s="575"/>
      <c r="P29" s="612"/>
      <c r="Q29" s="575" t="s">
        <v>817</v>
      </c>
      <c r="R29" s="575"/>
      <c r="S29" s="575" t="s">
        <v>863</v>
      </c>
      <c r="T29" s="613"/>
      <c r="U29" s="575"/>
      <c r="V29" s="614" t="s">
        <v>864</v>
      </c>
      <c r="W29" s="614" t="s">
        <v>864</v>
      </c>
      <c r="X29" s="232"/>
      <c r="Y29" s="615"/>
      <c r="Z29" s="575"/>
      <c r="AA29" s="616"/>
      <c r="AB29" s="575"/>
      <c r="AC29" s="613">
        <v>1</v>
      </c>
      <c r="AD29" s="613">
        <v>1</v>
      </c>
      <c r="AE29" s="614"/>
    </row>
    <row r="30" spans="1:31" s="224" customFormat="1" ht="13.5" customHeight="1">
      <c r="A30" s="225">
        <v>22</v>
      </c>
      <c r="B30" s="217" t="s">
        <v>1038</v>
      </c>
      <c r="C30" s="216"/>
      <c r="D30" s="217"/>
      <c r="E30" s="217"/>
      <c r="F30" s="217"/>
      <c r="G30" s="217"/>
      <c r="H30" s="575" t="s">
        <v>1039</v>
      </c>
      <c r="I30" s="611"/>
      <c r="J30" s="575" t="s">
        <v>1040</v>
      </c>
      <c r="K30" s="611" t="s">
        <v>1041</v>
      </c>
      <c r="L30" s="575"/>
      <c r="M30" s="575"/>
      <c r="N30" s="575"/>
      <c r="O30" s="575"/>
      <c r="P30" s="612"/>
      <c r="Q30" s="575" t="s">
        <v>820</v>
      </c>
      <c r="R30" s="575" t="s">
        <v>864</v>
      </c>
      <c r="S30" s="243" t="s">
        <v>1041</v>
      </c>
      <c r="T30" s="281"/>
      <c r="U30" s="575"/>
      <c r="V30" s="614" t="s">
        <v>864</v>
      </c>
      <c r="W30" s="614" t="s">
        <v>864</v>
      </c>
      <c r="X30" s="232"/>
      <c r="Y30" s="615"/>
      <c r="Z30" s="575"/>
      <c r="AA30" s="616"/>
      <c r="AB30" s="575"/>
      <c r="AC30" s="613">
        <v>1</v>
      </c>
      <c r="AD30" s="613">
        <v>1</v>
      </c>
      <c r="AE30" s="614" t="s">
        <v>864</v>
      </c>
    </row>
    <row r="31" spans="1:31" s="224" customFormat="1" ht="13.5" customHeight="1">
      <c r="A31" s="225">
        <v>23</v>
      </c>
      <c r="B31" s="217"/>
      <c r="C31" s="217" t="s">
        <v>1042</v>
      </c>
      <c r="D31" s="217"/>
      <c r="E31" s="217"/>
      <c r="F31" s="217"/>
      <c r="G31" s="217"/>
      <c r="H31" s="575" t="s">
        <v>1043</v>
      </c>
      <c r="I31" s="611" t="s">
        <v>1044</v>
      </c>
      <c r="J31" s="575" t="s">
        <v>1045</v>
      </c>
      <c r="K31" s="611"/>
      <c r="L31" s="575"/>
      <c r="M31" s="575"/>
      <c r="N31" s="575"/>
      <c r="O31" s="575"/>
      <c r="P31" s="612"/>
      <c r="Q31" s="575" t="s">
        <v>820</v>
      </c>
      <c r="R31" s="575"/>
      <c r="S31" s="575" t="s">
        <v>863</v>
      </c>
      <c r="T31" s="613"/>
      <c r="U31" s="575"/>
      <c r="V31" s="614" t="s">
        <v>864</v>
      </c>
      <c r="W31" s="614" t="s">
        <v>864</v>
      </c>
      <c r="X31" s="232"/>
      <c r="Y31" s="615"/>
      <c r="Z31" s="575"/>
      <c r="AA31" s="616"/>
      <c r="AB31" s="575"/>
      <c r="AC31" s="613">
        <v>1</v>
      </c>
      <c r="AD31" s="613">
        <v>1</v>
      </c>
      <c r="AE31" s="614" t="s">
        <v>864</v>
      </c>
    </row>
    <row r="32" spans="1:31" s="249" customFormat="1" ht="13.5" customHeight="1">
      <c r="A32" s="225">
        <v>24</v>
      </c>
      <c r="B32" s="217"/>
      <c r="C32" s="219" t="s">
        <v>1046</v>
      </c>
      <c r="D32" s="219"/>
      <c r="E32" s="220"/>
      <c r="F32" s="220"/>
      <c r="G32" s="220"/>
      <c r="H32" s="575" t="s">
        <v>1047</v>
      </c>
      <c r="I32" s="611" t="s">
        <v>1048</v>
      </c>
      <c r="J32" s="575" t="s">
        <v>1049</v>
      </c>
      <c r="K32" s="611"/>
      <c r="L32" s="575"/>
      <c r="M32" s="575"/>
      <c r="N32" s="575"/>
      <c r="O32" s="575"/>
      <c r="P32" s="252"/>
      <c r="Q32" s="575" t="s">
        <v>817</v>
      </c>
      <c r="R32" s="575"/>
      <c r="S32" s="575" t="s">
        <v>863</v>
      </c>
      <c r="T32" s="613"/>
      <c r="U32" s="575"/>
      <c r="V32" s="614" t="s">
        <v>864</v>
      </c>
      <c r="W32" s="614" t="s">
        <v>864</v>
      </c>
      <c r="X32" s="232"/>
      <c r="Y32" s="615"/>
      <c r="Z32" s="575"/>
      <c r="AA32" s="616"/>
      <c r="AB32" s="575"/>
      <c r="AC32" s="613">
        <v>1</v>
      </c>
      <c r="AD32" s="613"/>
      <c r="AE32" s="614" t="s">
        <v>864</v>
      </c>
    </row>
    <row r="33" spans="1:31" s="224" customFormat="1" ht="13.5" customHeight="1">
      <c r="A33" s="225">
        <v>25</v>
      </c>
      <c r="B33" s="217"/>
      <c r="C33" s="217" t="s">
        <v>1050</v>
      </c>
      <c r="D33" s="217"/>
      <c r="E33" s="217"/>
      <c r="F33" s="217"/>
      <c r="G33" s="217"/>
      <c r="H33" s="263" t="s">
        <v>1051</v>
      </c>
      <c r="I33" s="611" t="s">
        <v>1052</v>
      </c>
      <c r="J33" s="575" t="s">
        <v>871</v>
      </c>
      <c r="K33" s="611"/>
      <c r="L33" s="575" t="s">
        <v>1053</v>
      </c>
      <c r="M33" s="575" t="s">
        <v>1054</v>
      </c>
      <c r="N33" s="575"/>
      <c r="O33" s="575"/>
      <c r="P33" s="252"/>
      <c r="Q33" s="575" t="s">
        <v>817</v>
      </c>
      <c r="R33" s="575"/>
      <c r="S33" s="575" t="s">
        <v>863</v>
      </c>
      <c r="T33" s="613"/>
      <c r="U33" s="575"/>
      <c r="V33" s="614" t="s">
        <v>864</v>
      </c>
      <c r="W33" s="614" t="s">
        <v>864</v>
      </c>
      <c r="X33" s="232"/>
      <c r="Y33" s="615"/>
      <c r="Z33" s="575"/>
      <c r="AA33" s="616"/>
      <c r="AB33" s="575"/>
      <c r="AC33" s="613">
        <v>1</v>
      </c>
      <c r="AD33" s="613">
        <v>1</v>
      </c>
      <c r="AE33" s="614" t="s">
        <v>864</v>
      </c>
    </row>
    <row r="34" spans="1:31" s="224" customFormat="1" ht="13.5" customHeight="1">
      <c r="A34" s="225">
        <v>26</v>
      </c>
      <c r="B34" s="217"/>
      <c r="C34" s="241" t="s">
        <v>1055</v>
      </c>
      <c r="D34" s="221"/>
      <c r="E34" s="221"/>
      <c r="F34" s="221"/>
      <c r="G34" s="221"/>
      <c r="H34" s="575" t="s">
        <v>1056</v>
      </c>
      <c r="I34" s="618"/>
      <c r="J34" s="575"/>
      <c r="K34" s="501" t="s">
        <v>1057</v>
      </c>
      <c r="L34" s="575"/>
      <c r="M34" s="575"/>
      <c r="N34" s="575"/>
      <c r="O34" s="575"/>
      <c r="P34" s="612"/>
      <c r="Q34" s="575" t="s">
        <v>823</v>
      </c>
      <c r="R34" s="575" t="s">
        <v>864</v>
      </c>
      <c r="S34" s="502" t="s">
        <v>1057</v>
      </c>
      <c r="T34" s="613"/>
      <c r="U34" s="613"/>
      <c r="V34" s="375" t="s">
        <v>864</v>
      </c>
      <c r="W34" s="260" t="s">
        <v>864</v>
      </c>
      <c r="X34" s="232"/>
      <c r="Y34" s="615"/>
      <c r="Z34" s="575"/>
      <c r="AA34" s="616"/>
      <c r="AB34" s="575"/>
      <c r="AC34" s="613"/>
      <c r="AD34" s="613">
        <v>1</v>
      </c>
      <c r="AE34" s="614" t="s">
        <v>864</v>
      </c>
    </row>
    <row r="35" spans="1:31" s="224" customFormat="1" ht="13.5" customHeight="1">
      <c r="A35" s="225">
        <v>27</v>
      </c>
      <c r="B35" s="217"/>
      <c r="C35" s="241"/>
      <c r="D35" s="241" t="s">
        <v>1058</v>
      </c>
      <c r="E35" s="241"/>
      <c r="F35" s="241"/>
      <c r="G35" s="241"/>
      <c r="H35" s="575" t="s">
        <v>1059</v>
      </c>
      <c r="I35" s="618" t="s">
        <v>1060</v>
      </c>
      <c r="J35" s="575"/>
      <c r="K35" s="611" t="s">
        <v>908</v>
      </c>
      <c r="L35" s="575"/>
      <c r="M35" s="575"/>
      <c r="N35" s="575"/>
      <c r="O35" s="575"/>
      <c r="P35" s="612"/>
      <c r="Q35" s="575" t="s">
        <v>820</v>
      </c>
      <c r="R35" s="575"/>
      <c r="S35" s="575" t="s">
        <v>863</v>
      </c>
      <c r="T35" s="613" t="s">
        <v>864</v>
      </c>
      <c r="U35" s="611" t="s">
        <v>1061</v>
      </c>
      <c r="V35" s="375" t="s">
        <v>864</v>
      </c>
      <c r="W35" s="260" t="s">
        <v>864</v>
      </c>
      <c r="X35" s="232"/>
      <c r="Y35" s="266" t="s">
        <v>1062</v>
      </c>
      <c r="Z35" s="575" t="s">
        <v>1063</v>
      </c>
      <c r="AA35" s="245"/>
      <c r="AB35" s="575"/>
      <c r="AC35" s="613"/>
      <c r="AD35" s="613">
        <v>1</v>
      </c>
      <c r="AE35" s="614" t="s">
        <v>864</v>
      </c>
    </row>
    <row r="36" spans="1:31" s="224" customFormat="1" ht="13.5" customHeight="1">
      <c r="A36" s="225">
        <v>28</v>
      </c>
      <c r="B36" s="217"/>
      <c r="C36" s="241"/>
      <c r="D36" s="241" t="s">
        <v>1064</v>
      </c>
      <c r="E36" s="241"/>
      <c r="F36" s="241"/>
      <c r="G36" s="241"/>
      <c r="H36" s="575" t="s">
        <v>1065</v>
      </c>
      <c r="I36" s="618" t="s">
        <v>1066</v>
      </c>
      <c r="J36" s="575"/>
      <c r="K36" s="611" t="s">
        <v>1067</v>
      </c>
      <c r="L36" s="575"/>
      <c r="M36" s="575"/>
      <c r="N36" s="575"/>
      <c r="O36" s="575"/>
      <c r="P36" s="612"/>
      <c r="Q36" s="575" t="s">
        <v>820</v>
      </c>
      <c r="R36" s="575"/>
      <c r="S36" s="575" t="s">
        <v>863</v>
      </c>
      <c r="T36" s="613"/>
      <c r="U36" s="613"/>
      <c r="V36" s="375" t="s">
        <v>864</v>
      </c>
      <c r="W36" s="260" t="s">
        <v>864</v>
      </c>
      <c r="X36" s="232"/>
      <c r="Y36" s="615"/>
      <c r="Z36" s="575"/>
      <c r="AA36" s="245"/>
      <c r="AB36" s="575"/>
      <c r="AC36" s="613"/>
      <c r="AD36" s="613">
        <v>1</v>
      </c>
      <c r="AE36" s="614" t="s">
        <v>864</v>
      </c>
    </row>
    <row r="37" spans="1:31" s="224" customFormat="1" ht="13.5" customHeight="1">
      <c r="A37" s="225">
        <v>29</v>
      </c>
      <c r="B37" s="217"/>
      <c r="C37" s="217" t="s">
        <v>1068</v>
      </c>
      <c r="D37" s="221"/>
      <c r="E37" s="221"/>
      <c r="F37" s="221"/>
      <c r="G37" s="221"/>
      <c r="H37" s="575"/>
      <c r="I37" s="611"/>
      <c r="J37" s="575"/>
      <c r="K37" s="611" t="s">
        <v>1069</v>
      </c>
      <c r="L37" s="575"/>
      <c r="M37" s="575"/>
      <c r="N37" s="575"/>
      <c r="O37" s="575"/>
      <c r="P37" s="612"/>
      <c r="Q37" s="575" t="s">
        <v>817</v>
      </c>
      <c r="R37" s="575" t="s">
        <v>864</v>
      </c>
      <c r="S37" s="243" t="s">
        <v>1069</v>
      </c>
      <c r="T37" s="613"/>
      <c r="U37" s="575"/>
      <c r="V37" s="614" t="s">
        <v>864</v>
      </c>
      <c r="W37" s="614" t="s">
        <v>864</v>
      </c>
      <c r="X37" s="232"/>
      <c r="Y37" s="615"/>
      <c r="Z37" s="575"/>
      <c r="AA37" s="616"/>
      <c r="AB37" s="575"/>
      <c r="AC37" s="613">
        <v>1</v>
      </c>
      <c r="AD37" s="613">
        <v>1</v>
      </c>
      <c r="AE37" s="614" t="s">
        <v>864</v>
      </c>
    </row>
    <row r="38" spans="1:31" s="224" customFormat="1" ht="13.5" customHeight="1">
      <c r="A38" s="225">
        <v>30</v>
      </c>
      <c r="B38" s="217"/>
      <c r="C38" s="217"/>
      <c r="D38" s="610" t="s">
        <v>1070</v>
      </c>
      <c r="E38" s="253"/>
      <c r="F38" s="239"/>
      <c r="G38" s="239"/>
      <c r="H38" s="575" t="s">
        <v>1071</v>
      </c>
      <c r="I38" s="611" t="s">
        <v>1072</v>
      </c>
      <c r="J38" s="575" t="s">
        <v>1073</v>
      </c>
      <c r="K38" s="611" t="s">
        <v>1074</v>
      </c>
      <c r="L38" s="575"/>
      <c r="M38" s="575"/>
      <c r="N38" s="575"/>
      <c r="O38" s="575"/>
      <c r="P38" s="612"/>
      <c r="Q38" s="575" t="s">
        <v>820</v>
      </c>
      <c r="R38" s="575"/>
      <c r="S38" s="575" t="s">
        <v>863</v>
      </c>
      <c r="T38" s="613"/>
      <c r="U38" s="575" t="s">
        <v>1075</v>
      </c>
      <c r="V38" s="614" t="s">
        <v>864</v>
      </c>
      <c r="W38" s="614" t="s">
        <v>864</v>
      </c>
      <c r="X38" s="232"/>
      <c r="Y38" s="615"/>
      <c r="Z38" s="575"/>
      <c r="AA38" s="616"/>
      <c r="AB38" s="575"/>
      <c r="AC38" s="613">
        <v>1</v>
      </c>
      <c r="AD38" s="613">
        <v>1</v>
      </c>
      <c r="AE38" s="614" t="s">
        <v>864</v>
      </c>
    </row>
    <row r="39" spans="1:31" s="254" customFormat="1" ht="13.5" customHeight="1">
      <c r="A39" s="225">
        <v>31</v>
      </c>
      <c r="B39" s="217"/>
      <c r="C39" s="222"/>
      <c r="D39" s="610" t="s">
        <v>1076</v>
      </c>
      <c r="E39" s="221"/>
      <c r="F39" s="221"/>
      <c r="G39" s="221"/>
      <c r="H39" s="575" t="s">
        <v>1077</v>
      </c>
      <c r="I39" s="611" t="s">
        <v>1078</v>
      </c>
      <c r="J39" s="575"/>
      <c r="K39" s="611" t="s">
        <v>1079</v>
      </c>
      <c r="L39" s="575" t="s">
        <v>1080</v>
      </c>
      <c r="M39" s="575" t="s">
        <v>254</v>
      </c>
      <c r="N39" s="575"/>
      <c r="O39" s="575"/>
      <c r="P39" s="612"/>
      <c r="Q39" s="575" t="s">
        <v>817</v>
      </c>
      <c r="R39" s="575"/>
      <c r="S39" s="575" t="s">
        <v>863</v>
      </c>
      <c r="T39" s="613"/>
      <c r="U39" s="575"/>
      <c r="V39" s="614" t="s">
        <v>864</v>
      </c>
      <c r="W39" s="614" t="s">
        <v>864</v>
      </c>
      <c r="X39" s="232"/>
      <c r="Y39" s="615"/>
      <c r="Z39" s="575"/>
      <c r="AA39" s="616"/>
      <c r="AB39" s="575"/>
      <c r="AC39" s="613">
        <v>1</v>
      </c>
      <c r="AD39" s="613">
        <v>1</v>
      </c>
      <c r="AE39" s="614" t="s">
        <v>864</v>
      </c>
    </row>
    <row r="40" spans="1:31" s="254" customFormat="1" ht="13.5" customHeight="1">
      <c r="A40" s="225">
        <v>32</v>
      </c>
      <c r="B40" s="217"/>
      <c r="C40" s="222"/>
      <c r="D40" s="610" t="s">
        <v>1081</v>
      </c>
      <c r="E40" s="221"/>
      <c r="F40" s="221"/>
      <c r="G40" s="221"/>
      <c r="H40" s="575"/>
      <c r="I40" s="611"/>
      <c r="J40" s="575"/>
      <c r="K40" s="611" t="s">
        <v>1082</v>
      </c>
      <c r="L40" s="575" t="s">
        <v>1083</v>
      </c>
      <c r="M40" s="575" t="s">
        <v>1084</v>
      </c>
      <c r="N40" s="575"/>
      <c r="O40" s="575"/>
      <c r="P40" s="612"/>
      <c r="Q40" s="575" t="s">
        <v>817</v>
      </c>
      <c r="R40" s="575" t="s">
        <v>864</v>
      </c>
      <c r="S40" s="243" t="s">
        <v>1082</v>
      </c>
      <c r="T40" s="613"/>
      <c r="U40" s="575"/>
      <c r="V40" s="614" t="s">
        <v>864</v>
      </c>
      <c r="W40" s="614" t="s">
        <v>864</v>
      </c>
      <c r="X40" s="232"/>
      <c r="Y40" s="615"/>
      <c r="Z40" s="575"/>
      <c r="AA40" s="616"/>
      <c r="AB40" s="575"/>
      <c r="AC40" s="613">
        <v>1</v>
      </c>
      <c r="AD40" s="613">
        <v>1</v>
      </c>
      <c r="AE40" s="614" t="s">
        <v>864</v>
      </c>
    </row>
    <row r="41" spans="1:31" s="254" customFormat="1" ht="13.5" customHeight="1">
      <c r="A41" s="225">
        <v>33</v>
      </c>
      <c r="B41" s="217"/>
      <c r="C41" s="222"/>
      <c r="D41" s="241"/>
      <c r="E41" s="241" t="s">
        <v>1085</v>
      </c>
      <c r="F41" s="241"/>
      <c r="G41" s="241"/>
      <c r="H41" s="575" t="s">
        <v>1086</v>
      </c>
      <c r="I41" s="611" t="s">
        <v>1087</v>
      </c>
      <c r="J41" s="575"/>
      <c r="K41" s="611" t="s">
        <v>1074</v>
      </c>
      <c r="L41" s="575"/>
      <c r="M41" s="575"/>
      <c r="N41" s="575"/>
      <c r="O41" s="575"/>
      <c r="P41" s="612"/>
      <c r="Q41" s="575" t="s">
        <v>820</v>
      </c>
      <c r="R41" s="575"/>
      <c r="S41" s="575" t="s">
        <v>863</v>
      </c>
      <c r="T41" s="613"/>
      <c r="U41" s="575" t="s">
        <v>1088</v>
      </c>
      <c r="V41" s="614" t="s">
        <v>864</v>
      </c>
      <c r="W41" s="614" t="s">
        <v>864</v>
      </c>
      <c r="X41" s="232"/>
      <c r="Y41" s="615"/>
      <c r="Z41" s="575"/>
      <c r="AA41" s="616"/>
      <c r="AB41" s="575"/>
      <c r="AC41" s="613">
        <v>1</v>
      </c>
      <c r="AD41" s="613">
        <v>1</v>
      </c>
      <c r="AE41" s="614" t="s">
        <v>864</v>
      </c>
    </row>
    <row r="42" spans="1:31" s="224" customFormat="1" ht="13.5" customHeight="1">
      <c r="A42" s="225">
        <v>34</v>
      </c>
      <c r="B42" s="217"/>
      <c r="C42" s="217"/>
      <c r="D42" s="241"/>
      <c r="E42" s="241" t="s">
        <v>1089</v>
      </c>
      <c r="F42" s="241"/>
      <c r="G42" s="241"/>
      <c r="H42" s="575"/>
      <c r="I42" s="611" t="s">
        <v>1090</v>
      </c>
      <c r="J42" s="575"/>
      <c r="K42" s="611" t="s">
        <v>958</v>
      </c>
      <c r="L42" s="575"/>
      <c r="M42" s="575"/>
      <c r="N42" s="575"/>
      <c r="O42" s="575"/>
      <c r="P42" s="612"/>
      <c r="Q42" s="575" t="s">
        <v>817</v>
      </c>
      <c r="R42" s="575"/>
      <c r="S42" s="575" t="s">
        <v>863</v>
      </c>
      <c r="T42" s="613"/>
      <c r="U42" s="575"/>
      <c r="V42" s="614" t="s">
        <v>864</v>
      </c>
      <c r="W42" s="614" t="s">
        <v>864</v>
      </c>
      <c r="X42" s="232"/>
      <c r="Y42" s="615"/>
      <c r="Z42" s="575"/>
      <c r="AA42" s="616"/>
      <c r="AB42" s="575"/>
      <c r="AC42" s="613">
        <v>1</v>
      </c>
      <c r="AD42" s="613">
        <v>1</v>
      </c>
      <c r="AE42" s="614" t="s">
        <v>864</v>
      </c>
    </row>
    <row r="43" spans="1:31" s="224" customFormat="1" ht="13.5" customHeight="1">
      <c r="A43" s="225">
        <v>35</v>
      </c>
      <c r="B43" s="217"/>
      <c r="C43" s="217"/>
      <c r="D43" s="241"/>
      <c r="E43" s="241" t="s">
        <v>1091</v>
      </c>
      <c r="F43" s="241"/>
      <c r="G43" s="241"/>
      <c r="H43" s="575"/>
      <c r="I43" s="611" t="s">
        <v>1092</v>
      </c>
      <c r="J43" s="575"/>
      <c r="K43" s="611" t="s">
        <v>871</v>
      </c>
      <c r="L43" s="575"/>
      <c r="M43" s="575"/>
      <c r="N43" s="575"/>
      <c r="O43" s="575"/>
      <c r="P43" s="612"/>
      <c r="Q43" s="575" t="s">
        <v>817</v>
      </c>
      <c r="R43" s="575"/>
      <c r="S43" s="575" t="s">
        <v>863</v>
      </c>
      <c r="T43" s="613"/>
      <c r="U43" s="575"/>
      <c r="V43" s="614" t="s">
        <v>864</v>
      </c>
      <c r="W43" s="614" t="s">
        <v>864</v>
      </c>
      <c r="X43" s="232"/>
      <c r="Y43" s="615"/>
      <c r="Z43" s="575"/>
      <c r="AA43" s="616"/>
      <c r="AB43" s="575"/>
      <c r="AC43" s="613">
        <v>1</v>
      </c>
      <c r="AD43" s="613">
        <v>1</v>
      </c>
      <c r="AE43" s="614" t="s">
        <v>864</v>
      </c>
    </row>
    <row r="44" spans="1:31" s="224" customFormat="1" ht="13.5" customHeight="1">
      <c r="A44" s="225">
        <v>36</v>
      </c>
      <c r="B44" s="217"/>
      <c r="C44" s="217" t="s">
        <v>1093</v>
      </c>
      <c r="D44" s="221"/>
      <c r="E44" s="221"/>
      <c r="F44" s="221"/>
      <c r="G44" s="221"/>
      <c r="H44" s="575"/>
      <c r="I44" s="611"/>
      <c r="J44" s="575"/>
      <c r="K44" s="611" t="s">
        <v>1094</v>
      </c>
      <c r="L44" s="575"/>
      <c r="M44" s="575"/>
      <c r="N44" s="575"/>
      <c r="O44" s="575"/>
      <c r="P44" s="612"/>
      <c r="Q44" s="575" t="s">
        <v>817</v>
      </c>
      <c r="R44" s="575" t="s">
        <v>864</v>
      </c>
      <c r="S44" s="243" t="s">
        <v>1094</v>
      </c>
      <c r="T44" s="613"/>
      <c r="U44" s="575"/>
      <c r="V44" s="614" t="s">
        <v>864</v>
      </c>
      <c r="W44" s="614" t="s">
        <v>864</v>
      </c>
      <c r="X44" s="232"/>
      <c r="Y44" s="615"/>
      <c r="Z44" s="575"/>
      <c r="AA44" s="616"/>
      <c r="AB44" s="575"/>
      <c r="AC44" s="613"/>
      <c r="AD44" s="613">
        <v>1</v>
      </c>
      <c r="AE44" s="614" t="s">
        <v>864</v>
      </c>
    </row>
    <row r="45" spans="1:31" s="231" customFormat="1" ht="13.5" customHeight="1">
      <c r="A45" s="225">
        <v>37</v>
      </c>
      <c r="B45" s="217"/>
      <c r="C45" s="217"/>
      <c r="D45" s="241" t="s">
        <v>388</v>
      </c>
      <c r="E45" s="217"/>
      <c r="F45" s="217"/>
      <c r="G45" s="217"/>
      <c r="H45" s="575" t="s">
        <v>1095</v>
      </c>
      <c r="I45" s="611" t="s">
        <v>1096</v>
      </c>
      <c r="J45" s="575" t="s">
        <v>1094</v>
      </c>
      <c r="K45" s="611" t="s">
        <v>871</v>
      </c>
      <c r="L45" s="575" t="s">
        <v>1097</v>
      </c>
      <c r="M45" s="575" t="s">
        <v>388</v>
      </c>
      <c r="N45" s="575"/>
      <c r="O45" s="575"/>
      <c r="P45" s="252"/>
      <c r="Q45" s="575" t="s">
        <v>817</v>
      </c>
      <c r="R45" s="575"/>
      <c r="S45" s="575" t="s">
        <v>863</v>
      </c>
      <c r="T45" s="613"/>
      <c r="U45" s="575"/>
      <c r="V45" s="614" t="s">
        <v>864</v>
      </c>
      <c r="W45" s="614" t="s">
        <v>864</v>
      </c>
      <c r="X45" s="232"/>
      <c r="Y45" s="615"/>
      <c r="Z45" s="255"/>
      <c r="AA45" s="245" t="s">
        <v>1098</v>
      </c>
      <c r="AB45" s="575"/>
      <c r="AC45" s="613">
        <v>1</v>
      </c>
      <c r="AD45" s="613">
        <v>1</v>
      </c>
      <c r="AE45" s="614" t="s">
        <v>864</v>
      </c>
    </row>
    <row r="46" spans="1:31" s="224" customFormat="1" ht="13.5" customHeight="1">
      <c r="A46" s="225">
        <v>38</v>
      </c>
      <c r="B46" s="217"/>
      <c r="C46" s="217"/>
      <c r="D46" s="241" t="s">
        <v>392</v>
      </c>
      <c r="E46" s="217"/>
      <c r="F46" s="217"/>
      <c r="G46" s="217"/>
      <c r="H46" s="575" t="s">
        <v>1099</v>
      </c>
      <c r="I46" s="611">
        <v>59350</v>
      </c>
      <c r="J46" s="575" t="s">
        <v>1100</v>
      </c>
      <c r="K46" s="611" t="s">
        <v>1101</v>
      </c>
      <c r="L46" s="575" t="s">
        <v>1102</v>
      </c>
      <c r="M46" s="575" t="s">
        <v>392</v>
      </c>
      <c r="N46" s="575"/>
      <c r="O46" s="575"/>
      <c r="P46" s="252"/>
      <c r="Q46" s="575" t="s">
        <v>817</v>
      </c>
      <c r="R46" s="575"/>
      <c r="S46" s="575" t="s">
        <v>863</v>
      </c>
      <c r="T46" s="613"/>
      <c r="U46" s="575" t="s">
        <v>1103</v>
      </c>
      <c r="V46" s="614" t="s">
        <v>864</v>
      </c>
      <c r="W46" s="614" t="s">
        <v>864</v>
      </c>
      <c r="X46" s="232"/>
      <c r="Y46" s="615"/>
      <c r="Z46" s="575"/>
      <c r="AA46" s="616"/>
      <c r="AB46" s="575"/>
      <c r="AC46" s="613">
        <v>1</v>
      </c>
      <c r="AD46" s="613">
        <v>1</v>
      </c>
      <c r="AE46" s="614" t="s">
        <v>864</v>
      </c>
    </row>
    <row r="47" spans="1:31" s="224" customFormat="1" ht="13.5" customHeight="1">
      <c r="A47" s="225">
        <v>39</v>
      </c>
      <c r="B47" s="217"/>
      <c r="C47" s="217"/>
      <c r="D47" s="241" t="s">
        <v>1104</v>
      </c>
      <c r="E47" s="241"/>
      <c r="F47" s="241"/>
      <c r="G47" s="241"/>
      <c r="H47" s="263" t="s">
        <v>1105</v>
      </c>
      <c r="I47" s="611" t="s">
        <v>1106</v>
      </c>
      <c r="J47" s="575"/>
      <c r="K47" s="611" t="s">
        <v>1107</v>
      </c>
      <c r="L47" s="575"/>
      <c r="M47" s="575"/>
      <c r="N47" s="575"/>
      <c r="O47" s="575"/>
      <c r="P47" s="612"/>
      <c r="Q47" s="575" t="s">
        <v>817</v>
      </c>
      <c r="R47" s="575"/>
      <c r="S47" s="619" t="s">
        <v>863</v>
      </c>
      <c r="T47" s="282"/>
      <c r="U47" s="575"/>
      <c r="V47" s="614" t="s">
        <v>864</v>
      </c>
      <c r="W47" s="614" t="s">
        <v>864</v>
      </c>
      <c r="X47" s="232"/>
      <c r="Y47" s="615"/>
      <c r="Z47" s="575"/>
      <c r="AA47" s="616"/>
      <c r="AB47" s="575"/>
      <c r="AC47" s="613"/>
      <c r="AD47" s="613">
        <v>1</v>
      </c>
      <c r="AE47" s="614" t="s">
        <v>864</v>
      </c>
    </row>
    <row r="48" spans="1:31" s="256" customFormat="1" ht="12.75" customHeight="1">
      <c r="A48" s="225">
        <v>40</v>
      </c>
      <c r="B48" s="217"/>
      <c r="C48" s="217" t="s">
        <v>1108</v>
      </c>
      <c r="D48" s="221"/>
      <c r="E48" s="221"/>
      <c r="F48" s="221"/>
      <c r="G48" s="221"/>
      <c r="H48" s="575" t="s">
        <v>1109</v>
      </c>
      <c r="I48" s="611"/>
      <c r="J48" s="575"/>
      <c r="K48" s="611" t="s">
        <v>1110</v>
      </c>
      <c r="L48" s="575"/>
      <c r="M48" s="575"/>
      <c r="N48" s="575"/>
      <c r="O48" s="575"/>
      <c r="P48" s="612"/>
      <c r="Q48" s="575" t="s">
        <v>817</v>
      </c>
      <c r="R48" s="575" t="s">
        <v>864</v>
      </c>
      <c r="S48" s="243" t="s">
        <v>1110</v>
      </c>
      <c r="T48" s="613"/>
      <c r="U48" s="575"/>
      <c r="V48" s="614" t="s">
        <v>864</v>
      </c>
      <c r="W48" s="614" t="s">
        <v>864</v>
      </c>
      <c r="X48" s="232"/>
      <c r="Y48" s="615"/>
      <c r="Z48" s="575"/>
      <c r="AA48" s="616"/>
      <c r="AB48" s="575"/>
      <c r="AC48" s="613">
        <v>1</v>
      </c>
      <c r="AD48" s="613">
        <v>1</v>
      </c>
      <c r="AE48" s="614" t="s">
        <v>864</v>
      </c>
    </row>
    <row r="49" spans="1:31" s="256" customFormat="1" ht="12.75" customHeight="1">
      <c r="A49" s="225">
        <v>41</v>
      </c>
      <c r="B49" s="217"/>
      <c r="C49" s="217"/>
      <c r="D49" s="610" t="s">
        <v>415</v>
      </c>
      <c r="E49" s="221"/>
      <c r="F49" s="221"/>
      <c r="G49" s="221"/>
      <c r="H49" s="575" t="s">
        <v>1111</v>
      </c>
      <c r="I49" s="611" t="s">
        <v>1112</v>
      </c>
      <c r="J49" s="575"/>
      <c r="K49" s="611" t="s">
        <v>1113</v>
      </c>
      <c r="L49" s="575" t="s">
        <v>1114</v>
      </c>
      <c r="M49" s="575" t="s">
        <v>415</v>
      </c>
      <c r="N49" s="575"/>
      <c r="O49" s="575"/>
      <c r="P49" s="612"/>
      <c r="Q49" s="575" t="s">
        <v>817</v>
      </c>
      <c r="R49" s="575"/>
      <c r="S49" s="619" t="s">
        <v>863</v>
      </c>
      <c r="T49" s="282"/>
      <c r="U49" s="575"/>
      <c r="V49" s="614" t="s">
        <v>864</v>
      </c>
      <c r="W49" s="614" t="s">
        <v>864</v>
      </c>
      <c r="X49" s="232"/>
      <c r="Y49" s="615"/>
      <c r="Z49" s="575"/>
      <c r="AA49" s="616"/>
      <c r="AB49" s="575"/>
      <c r="AC49" s="613">
        <v>1</v>
      </c>
      <c r="AD49" s="613">
        <v>1</v>
      </c>
      <c r="AE49" s="614" t="s">
        <v>864</v>
      </c>
    </row>
    <row r="50" spans="1:31" s="256" customFormat="1" ht="12.75" customHeight="1">
      <c r="A50" s="225">
        <v>42</v>
      </c>
      <c r="B50" s="217"/>
      <c r="C50" s="217"/>
      <c r="D50" s="610" t="s">
        <v>1115</v>
      </c>
      <c r="E50" s="221"/>
      <c r="F50" s="221"/>
      <c r="G50" s="221"/>
      <c r="H50" s="575" t="s">
        <v>1116</v>
      </c>
      <c r="I50" s="611" t="s">
        <v>1117</v>
      </c>
      <c r="J50" s="575"/>
      <c r="K50" s="611" t="s">
        <v>1118</v>
      </c>
      <c r="L50" s="575" t="s">
        <v>1119</v>
      </c>
      <c r="M50" s="575" t="s">
        <v>424</v>
      </c>
      <c r="N50" s="575"/>
      <c r="O50" s="575"/>
      <c r="P50" s="612"/>
      <c r="Q50" s="575" t="s">
        <v>817</v>
      </c>
      <c r="R50" s="575"/>
      <c r="S50" s="619" t="s">
        <v>863</v>
      </c>
      <c r="T50" s="282"/>
      <c r="U50" s="575"/>
      <c r="V50" s="614" t="s">
        <v>864</v>
      </c>
      <c r="W50" s="614" t="s">
        <v>864</v>
      </c>
      <c r="X50" s="232"/>
      <c r="Y50" s="615"/>
      <c r="Z50" s="575"/>
      <c r="AA50" s="616"/>
      <c r="AB50" s="575"/>
      <c r="AC50" s="613">
        <v>1</v>
      </c>
      <c r="AD50" s="613">
        <v>1</v>
      </c>
      <c r="AE50" s="614" t="s">
        <v>864</v>
      </c>
    </row>
    <row r="51" spans="1:31" s="244" customFormat="1" ht="12.75" customHeight="1">
      <c r="A51" s="225">
        <v>43</v>
      </c>
      <c r="B51" s="217"/>
      <c r="C51" s="222"/>
      <c r="D51" s="610" t="s">
        <v>429</v>
      </c>
      <c r="E51" s="221"/>
      <c r="F51" s="221"/>
      <c r="G51" s="221"/>
      <c r="H51" s="575" t="s">
        <v>1120</v>
      </c>
      <c r="I51" s="611" t="s">
        <v>1121</v>
      </c>
      <c r="J51" s="575"/>
      <c r="K51" s="611" t="s">
        <v>1122</v>
      </c>
      <c r="L51" s="575"/>
      <c r="M51" s="575"/>
      <c r="N51" s="575"/>
      <c r="O51" s="575"/>
      <c r="P51" s="612"/>
      <c r="Q51" s="575" t="s">
        <v>817</v>
      </c>
      <c r="R51" s="575"/>
      <c r="S51" s="619" t="s">
        <v>863</v>
      </c>
      <c r="T51" s="282"/>
      <c r="U51" s="575"/>
      <c r="V51" s="614" t="s">
        <v>864</v>
      </c>
      <c r="W51" s="614" t="s">
        <v>864</v>
      </c>
      <c r="X51" s="232"/>
      <c r="Y51" s="615"/>
      <c r="Z51" s="575"/>
      <c r="AA51" s="616"/>
      <c r="AB51" s="575"/>
      <c r="AC51" s="613">
        <v>1</v>
      </c>
      <c r="AD51" s="613">
        <v>1</v>
      </c>
      <c r="AE51" s="614" t="s">
        <v>864</v>
      </c>
    </row>
    <row r="52" spans="1:31" s="244" customFormat="1" ht="12.75" customHeight="1">
      <c r="A52" s="225">
        <v>44</v>
      </c>
      <c r="B52" s="217"/>
      <c r="C52" s="222"/>
      <c r="D52" s="610" t="s">
        <v>426</v>
      </c>
      <c r="E52" s="221"/>
      <c r="F52" s="221"/>
      <c r="G52" s="221"/>
      <c r="H52" s="575" t="s">
        <v>1123</v>
      </c>
      <c r="I52" s="611" t="s">
        <v>1124</v>
      </c>
      <c r="J52" s="575"/>
      <c r="K52" s="611" t="s">
        <v>1125</v>
      </c>
      <c r="L52" s="575" t="s">
        <v>1126</v>
      </c>
      <c r="M52" s="575" t="s">
        <v>426</v>
      </c>
      <c r="N52" s="575"/>
      <c r="O52" s="575"/>
      <c r="P52" s="612"/>
      <c r="Q52" s="575" t="s">
        <v>823</v>
      </c>
      <c r="R52" s="575"/>
      <c r="S52" s="619" t="s">
        <v>863</v>
      </c>
      <c r="T52" s="282"/>
      <c r="U52" s="575"/>
      <c r="V52" s="614" t="s">
        <v>864</v>
      </c>
      <c r="W52" s="614" t="s">
        <v>864</v>
      </c>
      <c r="X52" s="232"/>
      <c r="Y52" s="615"/>
      <c r="Z52" s="575"/>
      <c r="AA52" s="616"/>
      <c r="AB52" s="575"/>
      <c r="AC52" s="613">
        <v>1</v>
      </c>
      <c r="AD52" s="613">
        <v>1</v>
      </c>
      <c r="AE52" s="614" t="s">
        <v>864</v>
      </c>
    </row>
    <row r="53" spans="1:31" s="244" customFormat="1" ht="12.75" customHeight="1">
      <c r="A53" s="225">
        <v>45</v>
      </c>
      <c r="B53" s="217"/>
      <c r="C53" s="222"/>
      <c r="D53" s="610" t="s">
        <v>1127</v>
      </c>
      <c r="E53" s="221"/>
      <c r="F53" s="221"/>
      <c r="G53" s="221"/>
      <c r="H53" s="575" t="s">
        <v>1128</v>
      </c>
      <c r="I53" s="611" t="s">
        <v>1129</v>
      </c>
      <c r="J53" s="575"/>
      <c r="K53" s="611" t="s">
        <v>1130</v>
      </c>
      <c r="L53" s="575"/>
      <c r="M53" s="575"/>
      <c r="N53" s="575"/>
      <c r="O53" s="575"/>
      <c r="P53" s="612"/>
      <c r="Q53" s="575" t="s">
        <v>817</v>
      </c>
      <c r="R53" s="575"/>
      <c r="S53" s="619" t="s">
        <v>863</v>
      </c>
      <c r="T53" s="282"/>
      <c r="U53" s="575"/>
      <c r="V53" s="614" t="s">
        <v>864</v>
      </c>
      <c r="W53" s="614" t="s">
        <v>864</v>
      </c>
      <c r="X53" s="232"/>
      <c r="Y53" s="615"/>
      <c r="Z53" s="575"/>
      <c r="AA53" s="616"/>
      <c r="AB53" s="575"/>
      <c r="AC53" s="613">
        <v>1</v>
      </c>
      <c r="AD53" s="613">
        <v>1</v>
      </c>
      <c r="AE53" s="614" t="s">
        <v>864</v>
      </c>
    </row>
    <row r="54" spans="1:31" s="257" customFormat="1" ht="12.75" customHeight="1">
      <c r="A54" s="225">
        <v>46</v>
      </c>
      <c r="B54" s="217"/>
      <c r="C54" s="222"/>
      <c r="D54" s="610" t="s">
        <v>1131</v>
      </c>
      <c r="E54" s="221"/>
      <c r="F54" s="221"/>
      <c r="G54" s="221"/>
      <c r="H54" s="575" t="s">
        <v>410</v>
      </c>
      <c r="I54" s="611" t="s">
        <v>1132</v>
      </c>
      <c r="J54" s="575"/>
      <c r="K54" s="611" t="s">
        <v>1133</v>
      </c>
      <c r="L54" s="575"/>
      <c r="M54" s="575"/>
      <c r="N54" s="575"/>
      <c r="O54" s="575"/>
      <c r="P54" s="612"/>
      <c r="Q54" s="575" t="s">
        <v>817</v>
      </c>
      <c r="R54" s="575"/>
      <c r="S54" s="619" t="s">
        <v>863</v>
      </c>
      <c r="T54" s="282"/>
      <c r="U54" s="575"/>
      <c r="V54" s="614" t="s">
        <v>864</v>
      </c>
      <c r="W54" s="614" t="s">
        <v>864</v>
      </c>
      <c r="X54" s="232"/>
      <c r="Y54" s="615"/>
      <c r="Z54" s="575"/>
      <c r="AA54" s="616"/>
      <c r="AB54" s="575"/>
      <c r="AC54" s="613">
        <v>1</v>
      </c>
      <c r="AD54" s="613">
        <v>1</v>
      </c>
      <c r="AE54" s="614" t="s">
        <v>864</v>
      </c>
    </row>
    <row r="55" spans="1:31" s="258" customFormat="1" ht="12.75" customHeight="1">
      <c r="A55" s="225">
        <v>47</v>
      </c>
      <c r="B55" s="217"/>
      <c r="C55" s="218"/>
      <c r="D55" s="610" t="s">
        <v>1134</v>
      </c>
      <c r="E55" s="221"/>
      <c r="F55" s="221"/>
      <c r="G55" s="221"/>
      <c r="H55" s="575"/>
      <c r="I55" s="611" t="s">
        <v>1135</v>
      </c>
      <c r="J55" s="575"/>
      <c r="K55" s="611" t="s">
        <v>1136</v>
      </c>
      <c r="L55" s="575"/>
      <c r="M55" s="575"/>
      <c r="N55" s="575"/>
      <c r="O55" s="575"/>
      <c r="P55" s="612"/>
      <c r="Q55" s="575" t="s">
        <v>817</v>
      </c>
      <c r="R55" s="575"/>
      <c r="S55" s="619" t="s">
        <v>863</v>
      </c>
      <c r="T55" s="282"/>
      <c r="U55" s="575"/>
      <c r="V55" s="614" t="s">
        <v>864</v>
      </c>
      <c r="W55" s="614" t="s">
        <v>864</v>
      </c>
      <c r="X55" s="232"/>
      <c r="Y55" s="615"/>
      <c r="Z55" s="575"/>
      <c r="AA55" s="616"/>
      <c r="AB55" s="575"/>
      <c r="AC55" s="613">
        <v>1</v>
      </c>
      <c r="AD55" s="613">
        <v>1</v>
      </c>
      <c r="AE55" s="614" t="s">
        <v>864</v>
      </c>
    </row>
    <row r="56" spans="1:31" s="256" customFormat="1" ht="12.95" customHeight="1">
      <c r="A56" s="225">
        <v>48</v>
      </c>
      <c r="B56" s="217"/>
      <c r="C56" s="218"/>
      <c r="D56" s="610" t="s">
        <v>178</v>
      </c>
      <c r="E56" s="221"/>
      <c r="F56" s="221"/>
      <c r="G56" s="221"/>
      <c r="H56" s="575" t="s">
        <v>1137</v>
      </c>
      <c r="I56" s="611" t="s">
        <v>1138</v>
      </c>
      <c r="J56" s="575"/>
      <c r="K56" s="611" t="s">
        <v>1139</v>
      </c>
      <c r="L56" s="575"/>
      <c r="M56" s="575"/>
      <c r="N56" s="575"/>
      <c r="O56" s="575"/>
      <c r="P56" s="612"/>
      <c r="Q56" s="575" t="s">
        <v>817</v>
      </c>
      <c r="R56" s="575"/>
      <c r="S56" s="619" t="s">
        <v>863</v>
      </c>
      <c r="T56" s="282"/>
      <c r="U56" s="575"/>
      <c r="V56" s="614" t="s">
        <v>864</v>
      </c>
      <c r="W56" s="614" t="s">
        <v>864</v>
      </c>
      <c r="X56" s="232"/>
      <c r="Y56" s="615"/>
      <c r="Z56" s="575"/>
      <c r="AA56" s="616"/>
      <c r="AB56" s="575"/>
      <c r="AC56" s="613">
        <v>1</v>
      </c>
      <c r="AD56" s="613">
        <v>1</v>
      </c>
      <c r="AE56" s="614" t="s">
        <v>864</v>
      </c>
    </row>
    <row r="57" spans="1:31" s="256" customFormat="1" ht="12.95" customHeight="1">
      <c r="A57" s="225">
        <v>49</v>
      </c>
      <c r="B57" s="217"/>
      <c r="C57" s="218"/>
      <c r="D57" s="241" t="s">
        <v>1140</v>
      </c>
      <c r="E57" s="241"/>
      <c r="F57" s="241"/>
      <c r="G57" s="241"/>
      <c r="H57" s="575" t="s">
        <v>1141</v>
      </c>
      <c r="I57" s="611">
        <v>33123452323</v>
      </c>
      <c r="J57" s="575"/>
      <c r="K57" s="611" t="s">
        <v>1142</v>
      </c>
      <c r="L57" s="575"/>
      <c r="M57" s="575"/>
      <c r="N57" s="575"/>
      <c r="O57" s="575"/>
      <c r="P57" s="612"/>
      <c r="Q57" s="575" t="s">
        <v>817</v>
      </c>
      <c r="R57" s="575"/>
      <c r="S57" s="575" t="s">
        <v>1079</v>
      </c>
      <c r="T57" s="613"/>
      <c r="U57" s="575"/>
      <c r="V57" s="614" t="s">
        <v>864</v>
      </c>
      <c r="W57" s="614" t="s">
        <v>864</v>
      </c>
      <c r="X57" s="232"/>
      <c r="Y57" s="615"/>
      <c r="Z57" s="575" t="s">
        <v>1143</v>
      </c>
      <c r="AA57" s="616"/>
      <c r="AB57" s="575"/>
      <c r="AC57" s="613"/>
      <c r="AD57" s="613">
        <v>1</v>
      </c>
      <c r="AE57" s="614" t="s">
        <v>864</v>
      </c>
    </row>
    <row r="58" spans="1:31" s="224" customFormat="1" ht="13.5" customHeight="1">
      <c r="A58" s="225">
        <v>50</v>
      </c>
      <c r="B58" s="217"/>
      <c r="C58" s="217" t="s">
        <v>1144</v>
      </c>
      <c r="D58" s="217"/>
      <c r="E58" s="217"/>
      <c r="F58" s="217"/>
      <c r="G58" s="217"/>
      <c r="H58" s="575"/>
      <c r="I58" s="611"/>
      <c r="J58" s="575" t="s">
        <v>1145</v>
      </c>
      <c r="K58" s="611" t="s">
        <v>1146</v>
      </c>
      <c r="L58" s="575"/>
      <c r="M58" s="575"/>
      <c r="N58" s="575"/>
      <c r="O58" s="575"/>
      <c r="P58" s="252"/>
      <c r="Q58" s="575" t="s">
        <v>817</v>
      </c>
      <c r="R58" s="575" t="s">
        <v>864</v>
      </c>
      <c r="S58" s="243" t="s">
        <v>1146</v>
      </c>
      <c r="T58" s="613"/>
      <c r="U58" s="575"/>
      <c r="V58" s="614" t="s">
        <v>864</v>
      </c>
      <c r="W58" s="614" t="s">
        <v>864</v>
      </c>
      <c r="X58" s="232"/>
      <c r="Y58" s="615"/>
      <c r="Z58" s="575"/>
      <c r="AA58" s="616"/>
      <c r="AB58" s="575"/>
      <c r="AC58" s="613">
        <v>1</v>
      </c>
      <c r="AD58" s="613"/>
      <c r="AE58" s="614" t="s">
        <v>864</v>
      </c>
    </row>
    <row r="59" spans="1:31" s="224" customFormat="1" ht="13.5" customHeight="1">
      <c r="A59" s="225">
        <v>51</v>
      </c>
      <c r="B59" s="217"/>
      <c r="C59" s="217"/>
      <c r="D59" s="241" t="s">
        <v>1147</v>
      </c>
      <c r="E59" s="241"/>
      <c r="F59" s="241"/>
      <c r="G59" s="241"/>
      <c r="H59" s="575" t="s">
        <v>1148</v>
      </c>
      <c r="I59" s="611" t="s">
        <v>930</v>
      </c>
      <c r="J59" s="575"/>
      <c r="K59" s="611" t="s">
        <v>1149</v>
      </c>
      <c r="L59" s="575"/>
      <c r="M59" s="575"/>
      <c r="N59" s="575"/>
      <c r="O59" s="575"/>
      <c r="P59" s="612"/>
      <c r="Q59" s="575" t="s">
        <v>820</v>
      </c>
      <c r="R59" s="575"/>
      <c r="S59" s="575" t="s">
        <v>879</v>
      </c>
      <c r="T59" s="613"/>
      <c r="U59" s="575"/>
      <c r="V59" s="614" t="s">
        <v>864</v>
      </c>
      <c r="W59" s="614" t="s">
        <v>864</v>
      </c>
      <c r="X59" s="232"/>
      <c r="Y59" s="615"/>
      <c r="Z59" s="575" t="s">
        <v>1150</v>
      </c>
      <c r="AA59" s="616"/>
      <c r="AB59" s="575"/>
      <c r="AC59" s="613"/>
      <c r="AD59" s="613">
        <v>1</v>
      </c>
      <c r="AE59" s="614" t="s">
        <v>864</v>
      </c>
    </row>
    <row r="60" spans="1:31" s="224" customFormat="1" ht="13.5" customHeight="1">
      <c r="A60" s="225">
        <v>52</v>
      </c>
      <c r="B60" s="217"/>
      <c r="C60" s="217"/>
      <c r="D60" s="217" t="s">
        <v>1151</v>
      </c>
      <c r="E60" s="217"/>
      <c r="F60" s="217"/>
      <c r="G60" s="217"/>
      <c r="H60" s="575" t="s">
        <v>1152</v>
      </c>
      <c r="I60" s="611"/>
      <c r="J60" s="575" t="s">
        <v>1153</v>
      </c>
      <c r="K60" s="611" t="s">
        <v>1153</v>
      </c>
      <c r="L60" s="575"/>
      <c r="M60" s="575"/>
      <c r="N60" s="575"/>
      <c r="O60" s="575"/>
      <c r="P60" s="252"/>
      <c r="Q60" s="575" t="s">
        <v>817</v>
      </c>
      <c r="R60" s="575" t="s">
        <v>864</v>
      </c>
      <c r="S60" s="243" t="s">
        <v>1153</v>
      </c>
      <c r="T60" s="613"/>
      <c r="U60" s="575"/>
      <c r="V60" s="614" t="s">
        <v>864</v>
      </c>
      <c r="W60" s="614" t="s">
        <v>864</v>
      </c>
      <c r="X60" s="232"/>
      <c r="Y60" s="615"/>
      <c r="Z60" s="575"/>
      <c r="AA60" s="616"/>
      <c r="AB60" s="575"/>
      <c r="AC60" s="613">
        <v>1</v>
      </c>
      <c r="AD60" s="613">
        <v>1</v>
      </c>
      <c r="AE60" s="614" t="s">
        <v>864</v>
      </c>
    </row>
    <row r="61" spans="1:31" s="224" customFormat="1" ht="13.5" customHeight="1">
      <c r="A61" s="225">
        <v>53</v>
      </c>
      <c r="B61" s="217"/>
      <c r="C61" s="217"/>
      <c r="D61" s="217"/>
      <c r="E61" s="217" t="s">
        <v>1154</v>
      </c>
      <c r="F61" s="217"/>
      <c r="G61" s="217"/>
      <c r="H61" s="575" t="s">
        <v>1155</v>
      </c>
      <c r="I61" s="611"/>
      <c r="J61" s="575" t="s">
        <v>1156</v>
      </c>
      <c r="K61" s="611" t="s">
        <v>1156</v>
      </c>
      <c r="L61" s="575"/>
      <c r="M61" s="575"/>
      <c r="N61" s="575"/>
      <c r="O61" s="575"/>
      <c r="P61" s="252"/>
      <c r="Q61" s="575" t="s">
        <v>820</v>
      </c>
      <c r="R61" s="575" t="s">
        <v>864</v>
      </c>
      <c r="S61" s="243" t="s">
        <v>1156</v>
      </c>
      <c r="T61" s="613"/>
      <c r="U61" s="575"/>
      <c r="V61" s="614" t="s">
        <v>864</v>
      </c>
      <c r="W61" s="614" t="s">
        <v>864</v>
      </c>
      <c r="X61" s="232"/>
      <c r="Y61" s="615"/>
      <c r="Z61" s="575"/>
      <c r="AA61" s="616"/>
      <c r="AB61" s="575"/>
      <c r="AC61" s="613">
        <v>1</v>
      </c>
      <c r="AD61" s="613">
        <v>1</v>
      </c>
      <c r="AE61" s="614" t="s">
        <v>864</v>
      </c>
    </row>
    <row r="62" spans="1:31" s="224" customFormat="1" ht="13.5" customHeight="1">
      <c r="A62" s="225">
        <v>54</v>
      </c>
      <c r="B62" s="217"/>
      <c r="C62" s="217"/>
      <c r="D62" s="217"/>
      <c r="E62" s="217"/>
      <c r="F62" s="217" t="s">
        <v>1157</v>
      </c>
      <c r="G62" s="217"/>
      <c r="H62" s="575" t="s">
        <v>1158</v>
      </c>
      <c r="I62" s="611" t="s">
        <v>1159</v>
      </c>
      <c r="J62" s="575" t="s">
        <v>1160</v>
      </c>
      <c r="K62" s="611" t="s">
        <v>1160</v>
      </c>
      <c r="L62" s="575"/>
      <c r="M62" s="575"/>
      <c r="N62" s="575"/>
      <c r="O62" s="575"/>
      <c r="P62" s="252"/>
      <c r="Q62" s="575" t="s">
        <v>820</v>
      </c>
      <c r="R62" s="575"/>
      <c r="S62" s="575" t="s">
        <v>1079</v>
      </c>
      <c r="T62" s="613"/>
      <c r="U62" s="575"/>
      <c r="V62" s="614" t="s">
        <v>864</v>
      </c>
      <c r="W62" s="614" t="s">
        <v>864</v>
      </c>
      <c r="X62" s="232"/>
      <c r="Y62" s="575" t="s">
        <v>1161</v>
      </c>
      <c r="Z62" s="575"/>
      <c r="AA62" s="245" t="s">
        <v>1162</v>
      </c>
      <c r="AB62" s="575"/>
      <c r="AC62" s="613">
        <v>1</v>
      </c>
      <c r="AD62" s="613">
        <v>1</v>
      </c>
      <c r="AE62" s="614" t="s">
        <v>864</v>
      </c>
    </row>
    <row r="63" spans="1:31" s="256" customFormat="1" ht="13.5" customHeight="1">
      <c r="A63" s="225">
        <v>55</v>
      </c>
      <c r="B63" s="217"/>
      <c r="C63" s="217"/>
      <c r="D63" s="217"/>
      <c r="E63" s="217"/>
      <c r="F63" s="217" t="s">
        <v>1163</v>
      </c>
      <c r="G63" s="217"/>
      <c r="H63" s="575" t="s">
        <v>1164</v>
      </c>
      <c r="I63" s="611" t="s">
        <v>1165</v>
      </c>
      <c r="J63" s="575" t="s">
        <v>1166</v>
      </c>
      <c r="K63" s="611" t="s">
        <v>1166</v>
      </c>
      <c r="L63" s="575"/>
      <c r="M63" s="575"/>
      <c r="N63" s="575"/>
      <c r="O63" s="575"/>
      <c r="P63" s="252"/>
      <c r="Q63" s="575" t="s">
        <v>820</v>
      </c>
      <c r="R63" s="575"/>
      <c r="S63" s="575" t="s">
        <v>1079</v>
      </c>
      <c r="T63" s="613"/>
      <c r="U63" s="575"/>
      <c r="V63" s="614" t="s">
        <v>864</v>
      </c>
      <c r="W63" s="614" t="s">
        <v>864</v>
      </c>
      <c r="X63" s="232"/>
      <c r="Y63" s="575" t="s">
        <v>1161</v>
      </c>
      <c r="Z63" s="575"/>
      <c r="AA63" s="245" t="s">
        <v>1162</v>
      </c>
      <c r="AB63" s="575"/>
      <c r="AC63" s="613">
        <v>1</v>
      </c>
      <c r="AD63" s="613">
        <v>1</v>
      </c>
      <c r="AE63" s="614" t="s">
        <v>864</v>
      </c>
    </row>
    <row r="64" spans="1:31" s="244" customFormat="1" ht="13.5" customHeight="1">
      <c r="A64" s="225">
        <v>56</v>
      </c>
      <c r="B64" s="217"/>
      <c r="C64" s="222"/>
      <c r="D64" s="222"/>
      <c r="E64" s="222"/>
      <c r="F64" s="222" t="s">
        <v>1167</v>
      </c>
      <c r="G64" s="221"/>
      <c r="H64" s="575" t="s">
        <v>1168</v>
      </c>
      <c r="I64" s="611">
        <v>120</v>
      </c>
      <c r="J64" s="575"/>
      <c r="K64" s="575" t="s">
        <v>1169</v>
      </c>
      <c r="L64" s="575"/>
      <c r="M64" s="575"/>
      <c r="N64" s="575"/>
      <c r="O64" s="575"/>
      <c r="P64" s="612"/>
      <c r="Q64" s="575" t="s">
        <v>817</v>
      </c>
      <c r="R64" s="575"/>
      <c r="S64" s="575" t="s">
        <v>1079</v>
      </c>
      <c r="T64" s="613"/>
      <c r="U64" s="575"/>
      <c r="V64" s="614" t="s">
        <v>864</v>
      </c>
      <c r="W64" s="614" t="s">
        <v>864</v>
      </c>
      <c r="X64" s="232"/>
      <c r="Y64" s="575" t="s">
        <v>1170</v>
      </c>
      <c r="Z64" s="575"/>
      <c r="AA64" s="616"/>
      <c r="AB64" s="575"/>
      <c r="AC64" s="613">
        <v>1</v>
      </c>
      <c r="AD64" s="613">
        <v>1</v>
      </c>
      <c r="AE64" s="614" t="s">
        <v>864</v>
      </c>
    </row>
    <row r="65" spans="1:1014" s="256" customFormat="1" ht="13.5" customHeight="1">
      <c r="A65" s="225">
        <v>57</v>
      </c>
      <c r="B65" s="217"/>
      <c r="C65" s="217"/>
      <c r="D65" s="241"/>
      <c r="E65" s="241"/>
      <c r="F65" s="241" t="s">
        <v>1171</v>
      </c>
      <c r="G65" s="221"/>
      <c r="H65" s="575" t="s">
        <v>1172</v>
      </c>
      <c r="I65" s="611">
        <v>96</v>
      </c>
      <c r="J65" s="575"/>
      <c r="K65" s="575" t="s">
        <v>1173</v>
      </c>
      <c r="L65" s="575"/>
      <c r="M65" s="575"/>
      <c r="N65" s="575"/>
      <c r="O65" s="575"/>
      <c r="P65" s="612"/>
      <c r="Q65" s="575" t="s">
        <v>817</v>
      </c>
      <c r="R65" s="575"/>
      <c r="S65" s="575" t="s">
        <v>1079</v>
      </c>
      <c r="T65" s="613"/>
      <c r="U65" s="575"/>
      <c r="V65" s="614" t="s">
        <v>864</v>
      </c>
      <c r="W65" s="614" t="s">
        <v>864</v>
      </c>
      <c r="X65" s="232"/>
      <c r="Y65" s="575" t="s">
        <v>1174</v>
      </c>
      <c r="Z65" s="575"/>
      <c r="AA65" s="616"/>
      <c r="AB65" s="575"/>
      <c r="AC65" s="613">
        <v>1</v>
      </c>
      <c r="AD65" s="613">
        <v>1</v>
      </c>
      <c r="AE65" s="614" t="s">
        <v>864</v>
      </c>
    </row>
    <row r="66" spans="1:1014" s="256" customFormat="1" ht="13.5" customHeight="1">
      <c r="A66" s="225">
        <v>58</v>
      </c>
      <c r="B66" s="217"/>
      <c r="C66" s="217"/>
      <c r="D66" s="241"/>
      <c r="E66" s="241"/>
      <c r="F66" s="241" t="s">
        <v>1175</v>
      </c>
      <c r="G66" s="221"/>
      <c r="H66" s="575" t="s">
        <v>1176</v>
      </c>
      <c r="I66" s="611">
        <v>34</v>
      </c>
      <c r="J66" s="575"/>
      <c r="K66" s="575" t="s">
        <v>1177</v>
      </c>
      <c r="L66" s="575"/>
      <c r="M66" s="575"/>
      <c r="N66" s="575"/>
      <c r="O66" s="575"/>
      <c r="P66" s="612"/>
      <c r="Q66" s="575" t="s">
        <v>817</v>
      </c>
      <c r="R66" s="575"/>
      <c r="S66" s="575" t="s">
        <v>1079</v>
      </c>
      <c r="T66" s="613"/>
      <c r="U66" s="575"/>
      <c r="V66" s="614" t="s">
        <v>864</v>
      </c>
      <c r="W66" s="614" t="s">
        <v>864</v>
      </c>
      <c r="X66" s="232"/>
      <c r="Y66" s="575" t="s">
        <v>1178</v>
      </c>
      <c r="Z66" s="575"/>
      <c r="AA66" s="616"/>
      <c r="AB66" s="575"/>
      <c r="AC66" s="613">
        <v>1</v>
      </c>
      <c r="AD66" s="613">
        <v>1</v>
      </c>
      <c r="AE66" s="614" t="s">
        <v>864</v>
      </c>
    </row>
    <row r="67" spans="1:1014" s="244" customFormat="1" ht="13.5" customHeight="1">
      <c r="A67" s="225">
        <v>59</v>
      </c>
      <c r="B67" s="217"/>
      <c r="C67" s="222"/>
      <c r="D67" s="241"/>
      <c r="E67" s="241"/>
      <c r="F67" s="241" t="s">
        <v>1179</v>
      </c>
      <c r="G67" s="241"/>
      <c r="H67" s="575" t="s">
        <v>1180</v>
      </c>
      <c r="I67" s="611" t="s">
        <v>1181</v>
      </c>
      <c r="J67" s="575"/>
      <c r="K67" s="611" t="s">
        <v>1182</v>
      </c>
      <c r="L67" s="575"/>
      <c r="M67" s="575"/>
      <c r="N67" s="575"/>
      <c r="O67" s="575"/>
      <c r="P67" s="612"/>
      <c r="Q67" s="575" t="s">
        <v>820</v>
      </c>
      <c r="R67" s="575"/>
      <c r="S67" s="575" t="s">
        <v>863</v>
      </c>
      <c r="T67" s="613" t="s">
        <v>864</v>
      </c>
      <c r="U67" s="575" t="s">
        <v>1183</v>
      </c>
      <c r="V67" s="614" t="s">
        <v>864</v>
      </c>
      <c r="W67" s="614" t="s">
        <v>864</v>
      </c>
      <c r="X67" s="232"/>
      <c r="Y67" s="615"/>
      <c r="Z67" s="575"/>
      <c r="AA67" s="616"/>
      <c r="AB67" s="575"/>
      <c r="AC67" s="613"/>
      <c r="AD67" s="613">
        <v>1</v>
      </c>
      <c r="AE67" s="614" t="s">
        <v>864</v>
      </c>
    </row>
    <row r="68" spans="1:1014" s="256" customFormat="1" ht="13.5" customHeight="1">
      <c r="A68" s="225">
        <v>60</v>
      </c>
      <c r="B68" s="217"/>
      <c r="C68" s="217"/>
      <c r="D68" s="217"/>
      <c r="E68" s="217" t="s">
        <v>1184</v>
      </c>
      <c r="F68" s="217"/>
      <c r="G68" s="217"/>
      <c r="H68" s="575" t="s">
        <v>1185</v>
      </c>
      <c r="I68" s="611" t="s">
        <v>1186</v>
      </c>
      <c r="J68" s="575" t="s">
        <v>1187</v>
      </c>
      <c r="K68" s="611" t="s">
        <v>1188</v>
      </c>
      <c r="L68" s="575"/>
      <c r="M68" s="575"/>
      <c r="N68" s="575"/>
      <c r="O68" s="575"/>
      <c r="P68" s="612">
        <v>1</v>
      </c>
      <c r="Q68" s="575" t="s">
        <v>817</v>
      </c>
      <c r="R68" s="575"/>
      <c r="S68" s="575" t="s">
        <v>863</v>
      </c>
      <c r="T68" s="613"/>
      <c r="U68" s="575"/>
      <c r="V68" s="614" t="s">
        <v>864</v>
      </c>
      <c r="W68" s="614" t="s">
        <v>864</v>
      </c>
      <c r="X68" s="232"/>
      <c r="Y68" s="615"/>
      <c r="Z68" s="575"/>
      <c r="AA68" s="616"/>
      <c r="AB68" s="575"/>
      <c r="AC68" s="613">
        <v>1</v>
      </c>
      <c r="AD68" s="613">
        <v>1</v>
      </c>
      <c r="AE68" s="614" t="s">
        <v>864</v>
      </c>
    </row>
    <row r="69" spans="1:1014" s="256" customFormat="1" ht="12.95" customHeight="1">
      <c r="A69" s="225">
        <v>61</v>
      </c>
      <c r="B69" s="217"/>
      <c r="C69" s="217"/>
      <c r="D69" s="217" t="s">
        <v>1189</v>
      </c>
      <c r="E69" s="217"/>
      <c r="F69" s="217"/>
      <c r="G69" s="217"/>
      <c r="H69" s="575" t="s">
        <v>1190</v>
      </c>
      <c r="I69" s="611"/>
      <c r="J69" s="575" t="s">
        <v>1191</v>
      </c>
      <c r="K69" s="611" t="s">
        <v>1191</v>
      </c>
      <c r="L69" s="575"/>
      <c r="M69" s="575"/>
      <c r="N69" s="575"/>
      <c r="O69" s="575"/>
      <c r="P69" s="252"/>
      <c r="Q69" s="575" t="s">
        <v>817</v>
      </c>
      <c r="R69" s="575"/>
      <c r="S69" s="575" t="s">
        <v>863</v>
      </c>
      <c r="T69" s="613"/>
      <c r="U69" s="575"/>
      <c r="V69" s="614" t="s">
        <v>864</v>
      </c>
      <c r="W69" s="614" t="s">
        <v>864</v>
      </c>
      <c r="X69" s="232"/>
      <c r="Y69" s="615"/>
      <c r="Z69" s="575"/>
      <c r="AA69" s="616"/>
      <c r="AB69" s="575"/>
      <c r="AC69" s="613">
        <v>1</v>
      </c>
      <c r="AD69" s="613"/>
      <c r="AE69" s="614" t="s">
        <v>864</v>
      </c>
    </row>
    <row r="70" spans="1:1014" s="224" customFormat="1" ht="13.5" customHeight="1">
      <c r="A70" s="225">
        <v>62</v>
      </c>
      <c r="B70" s="217"/>
      <c r="C70" s="217" t="s">
        <v>1192</v>
      </c>
      <c r="D70" s="217"/>
      <c r="E70" s="217"/>
      <c r="F70" s="217"/>
      <c r="G70" s="217"/>
      <c r="H70" s="575" t="s">
        <v>1193</v>
      </c>
      <c r="I70" s="611"/>
      <c r="J70" s="575" t="s">
        <v>942</v>
      </c>
      <c r="K70" s="611" t="s">
        <v>1194</v>
      </c>
      <c r="L70" s="575"/>
      <c r="M70" s="575"/>
      <c r="N70" s="575"/>
      <c r="O70" s="575"/>
      <c r="P70" s="252"/>
      <c r="Q70" s="575" t="s">
        <v>823</v>
      </c>
      <c r="R70" s="575" t="s">
        <v>864</v>
      </c>
      <c r="S70" s="243" t="s">
        <v>1194</v>
      </c>
      <c r="T70" s="613"/>
      <c r="U70" s="575"/>
      <c r="V70" s="614" t="s">
        <v>864</v>
      </c>
      <c r="W70" s="614" t="s">
        <v>864</v>
      </c>
      <c r="X70" s="232"/>
      <c r="Y70" s="615"/>
      <c r="Z70" s="575"/>
      <c r="AA70" s="616"/>
      <c r="AB70" s="575"/>
      <c r="AC70" s="613">
        <v>1</v>
      </c>
      <c r="AD70" s="613">
        <v>1</v>
      </c>
      <c r="AE70" s="614" t="s">
        <v>864</v>
      </c>
    </row>
    <row r="71" spans="1:1014" s="224" customFormat="1" ht="13.5" customHeight="1">
      <c r="A71" s="225">
        <v>63</v>
      </c>
      <c r="B71" s="217"/>
      <c r="C71" s="217"/>
      <c r="D71" s="217" t="s">
        <v>1195</v>
      </c>
      <c r="E71" s="217"/>
      <c r="F71" s="217"/>
      <c r="G71" s="217"/>
      <c r="H71" s="575" t="s">
        <v>1196</v>
      </c>
      <c r="I71" s="611" t="s">
        <v>1197</v>
      </c>
      <c r="J71" s="575" t="s">
        <v>908</v>
      </c>
      <c r="K71" s="611" t="s">
        <v>939</v>
      </c>
      <c r="L71" s="575"/>
      <c r="M71" s="575"/>
      <c r="N71" s="575"/>
      <c r="O71" s="575"/>
      <c r="P71" s="252"/>
      <c r="Q71" s="575" t="s">
        <v>820</v>
      </c>
      <c r="R71" s="575"/>
      <c r="S71" s="575" t="s">
        <v>863</v>
      </c>
      <c r="T71" s="613" t="s">
        <v>864</v>
      </c>
      <c r="U71" s="575" t="s">
        <v>1198</v>
      </c>
      <c r="V71" s="614" t="s">
        <v>864</v>
      </c>
      <c r="W71" s="614" t="s">
        <v>864</v>
      </c>
      <c r="X71" s="232"/>
      <c r="Y71" s="615"/>
      <c r="Z71" s="575"/>
      <c r="AA71" s="616"/>
      <c r="AB71" s="575"/>
      <c r="AC71" s="613">
        <v>1</v>
      </c>
      <c r="AD71" s="613">
        <v>1</v>
      </c>
      <c r="AE71" s="614" t="s">
        <v>864</v>
      </c>
    </row>
    <row r="72" spans="1:1014" s="224" customFormat="1" ht="13.5" customHeight="1">
      <c r="A72" s="225">
        <v>64</v>
      </c>
      <c r="B72" s="217"/>
      <c r="C72" s="217"/>
      <c r="D72" s="217" t="s">
        <v>1199</v>
      </c>
      <c r="E72" s="217"/>
      <c r="F72" s="217"/>
      <c r="G72" s="217"/>
      <c r="H72" s="575" t="s">
        <v>1200</v>
      </c>
      <c r="I72" s="611" t="s">
        <v>1201</v>
      </c>
      <c r="J72" s="575" t="s">
        <v>958</v>
      </c>
      <c r="K72" s="611" t="s">
        <v>958</v>
      </c>
      <c r="L72" s="575"/>
      <c r="M72" s="575"/>
      <c r="N72" s="575"/>
      <c r="O72" s="575"/>
      <c r="P72" s="252"/>
      <c r="Q72" s="575" t="s">
        <v>820</v>
      </c>
      <c r="R72" s="575"/>
      <c r="S72" s="575" t="s">
        <v>863</v>
      </c>
      <c r="T72" s="613" t="s">
        <v>864</v>
      </c>
      <c r="U72" s="575" t="s">
        <v>1202</v>
      </c>
      <c r="V72" s="614" t="s">
        <v>864</v>
      </c>
      <c r="W72" s="614" t="s">
        <v>864</v>
      </c>
      <c r="X72" s="232"/>
      <c r="Y72" s="615"/>
      <c r="Z72" s="575"/>
      <c r="AA72" s="616"/>
      <c r="AB72" s="575"/>
      <c r="AC72" s="613">
        <v>1</v>
      </c>
      <c r="AD72" s="613">
        <v>1</v>
      </c>
      <c r="AE72" s="614" t="s">
        <v>864</v>
      </c>
    </row>
    <row r="73" spans="1:1014" s="231" customFormat="1" ht="12.95" customHeight="1">
      <c r="A73" s="225">
        <v>65</v>
      </c>
      <c r="B73" s="217"/>
      <c r="C73" s="217"/>
      <c r="D73" s="217" t="s">
        <v>1064</v>
      </c>
      <c r="E73" s="217"/>
      <c r="F73" s="217"/>
      <c r="G73" s="217"/>
      <c r="H73" s="575" t="s">
        <v>1203</v>
      </c>
      <c r="I73" s="611" t="s">
        <v>1204</v>
      </c>
      <c r="J73" s="575" t="s">
        <v>1205</v>
      </c>
      <c r="K73" s="611" t="s">
        <v>1206</v>
      </c>
      <c r="L73" s="575"/>
      <c r="M73" s="575"/>
      <c r="N73" s="575"/>
      <c r="O73" s="575"/>
      <c r="P73" s="252"/>
      <c r="Q73" s="575" t="s">
        <v>820</v>
      </c>
      <c r="R73" s="575"/>
      <c r="S73" s="619" t="s">
        <v>863</v>
      </c>
      <c r="T73" s="282"/>
      <c r="U73" s="575"/>
      <c r="V73" s="614" t="s">
        <v>864</v>
      </c>
      <c r="W73" s="614" t="s">
        <v>864</v>
      </c>
      <c r="X73" s="232"/>
      <c r="Y73" s="615"/>
      <c r="Z73" s="575"/>
      <c r="AA73" s="616"/>
      <c r="AB73" s="575"/>
      <c r="AC73" s="613">
        <v>1</v>
      </c>
      <c r="AD73" s="613">
        <v>1</v>
      </c>
      <c r="AE73" s="614" t="s">
        <v>864</v>
      </c>
      <c r="AF73" s="620"/>
      <c r="AG73" s="620"/>
      <c r="AH73" s="620"/>
      <c r="AI73" s="620"/>
      <c r="AJ73" s="620"/>
      <c r="AK73" s="620"/>
      <c r="AL73" s="620"/>
      <c r="AM73" s="620"/>
      <c r="AN73" s="620"/>
      <c r="AO73" s="620"/>
      <c r="AP73" s="620"/>
      <c r="AQ73" s="620"/>
      <c r="AR73" s="620"/>
      <c r="AS73" s="620"/>
      <c r="AT73" s="620"/>
      <c r="AU73" s="620"/>
      <c r="AV73" s="620"/>
      <c r="AW73" s="620"/>
      <c r="AX73" s="620"/>
      <c r="AY73" s="620"/>
      <c r="AZ73" s="620"/>
      <c r="BA73" s="620"/>
      <c r="BB73" s="620"/>
      <c r="BC73" s="620"/>
      <c r="BD73" s="620"/>
      <c r="BE73" s="620"/>
      <c r="BF73" s="620"/>
      <c r="BG73" s="620"/>
      <c r="BH73" s="620"/>
      <c r="BI73" s="620"/>
      <c r="BJ73" s="620"/>
      <c r="BK73" s="620"/>
      <c r="BL73" s="620"/>
      <c r="BM73" s="620"/>
      <c r="BN73" s="620"/>
      <c r="BO73" s="620"/>
      <c r="BP73" s="620"/>
      <c r="BQ73" s="620"/>
      <c r="BR73" s="620"/>
      <c r="BS73" s="620"/>
      <c r="BT73" s="620"/>
      <c r="BU73" s="620"/>
      <c r="BV73" s="620"/>
      <c r="BW73" s="620"/>
      <c r="BX73" s="620"/>
      <c r="BY73" s="620"/>
      <c r="BZ73" s="620"/>
      <c r="CA73" s="620"/>
      <c r="CB73" s="620"/>
      <c r="CC73" s="620"/>
      <c r="CD73" s="620"/>
      <c r="CE73" s="620"/>
      <c r="CF73" s="620"/>
      <c r="CG73" s="620"/>
      <c r="CH73" s="620"/>
      <c r="CI73" s="620"/>
      <c r="CJ73" s="620"/>
      <c r="CK73" s="620"/>
      <c r="CL73" s="620"/>
      <c r="CM73" s="620"/>
      <c r="CN73" s="620"/>
      <c r="CO73" s="620"/>
      <c r="CP73" s="620"/>
      <c r="CQ73" s="620"/>
      <c r="CR73" s="620"/>
      <c r="CS73" s="620"/>
      <c r="CT73" s="620"/>
      <c r="CU73" s="620"/>
      <c r="CV73" s="620"/>
      <c r="CW73" s="620"/>
      <c r="CX73" s="620"/>
      <c r="CY73" s="620"/>
      <c r="CZ73" s="620"/>
      <c r="DA73" s="620"/>
      <c r="DB73" s="620"/>
      <c r="DC73" s="620"/>
      <c r="DD73" s="620"/>
      <c r="DE73" s="620"/>
      <c r="DF73" s="620"/>
      <c r="DG73" s="620"/>
      <c r="DH73" s="620"/>
      <c r="DI73" s="620"/>
      <c r="DJ73" s="620"/>
      <c r="DK73" s="620"/>
      <c r="DL73" s="620"/>
      <c r="DM73" s="620"/>
      <c r="DN73" s="620"/>
      <c r="DO73" s="620"/>
      <c r="DP73" s="620"/>
      <c r="DQ73" s="620"/>
      <c r="DR73" s="620"/>
      <c r="DS73" s="620"/>
      <c r="DT73" s="620"/>
      <c r="DU73" s="620"/>
      <c r="DV73" s="620"/>
      <c r="DW73" s="620"/>
      <c r="DX73" s="620"/>
      <c r="DY73" s="620"/>
      <c r="DZ73" s="620"/>
      <c r="EA73" s="620"/>
      <c r="EB73" s="620"/>
      <c r="EC73" s="620"/>
      <c r="ED73" s="620"/>
      <c r="EE73" s="620"/>
      <c r="EF73" s="620"/>
      <c r="EG73" s="620"/>
      <c r="EH73" s="620"/>
      <c r="EI73" s="620"/>
      <c r="EJ73" s="620"/>
      <c r="EK73" s="620"/>
      <c r="EL73" s="620"/>
      <c r="EM73" s="620"/>
      <c r="EN73" s="620"/>
      <c r="EO73" s="620"/>
      <c r="EP73" s="620"/>
      <c r="EQ73" s="620"/>
      <c r="ER73" s="620"/>
      <c r="ES73" s="620"/>
      <c r="ET73" s="620"/>
      <c r="EU73" s="620"/>
      <c r="EV73" s="620"/>
      <c r="EW73" s="620"/>
      <c r="EX73" s="620"/>
      <c r="EY73" s="620"/>
      <c r="EZ73" s="620"/>
      <c r="FA73" s="620"/>
      <c r="FB73" s="620"/>
      <c r="FC73" s="620"/>
      <c r="FD73" s="620"/>
      <c r="FE73" s="620"/>
      <c r="FF73" s="620"/>
      <c r="FG73" s="620"/>
      <c r="FH73" s="620"/>
      <c r="FI73" s="620"/>
      <c r="FJ73" s="620"/>
      <c r="FK73" s="620"/>
      <c r="FL73" s="620"/>
      <c r="FM73" s="620"/>
      <c r="FN73" s="620"/>
      <c r="FO73" s="620"/>
      <c r="FP73" s="620"/>
      <c r="FQ73" s="620"/>
      <c r="FR73" s="620"/>
      <c r="FS73" s="620"/>
      <c r="FT73" s="620"/>
      <c r="FU73" s="620"/>
      <c r="FV73" s="620"/>
      <c r="FW73" s="620"/>
      <c r="FX73" s="620"/>
      <c r="FY73" s="620"/>
      <c r="FZ73" s="620"/>
      <c r="GA73" s="620"/>
      <c r="GB73" s="620"/>
      <c r="GC73" s="620"/>
      <c r="GD73" s="620"/>
      <c r="GE73" s="620"/>
      <c r="GF73" s="620"/>
      <c r="GG73" s="620"/>
      <c r="GH73" s="620"/>
      <c r="GI73" s="620"/>
      <c r="GJ73" s="620"/>
      <c r="GK73" s="620"/>
      <c r="GL73" s="620"/>
      <c r="GM73" s="620"/>
      <c r="GN73" s="620"/>
      <c r="GO73" s="620"/>
      <c r="GP73" s="620"/>
      <c r="GQ73" s="620"/>
      <c r="GR73" s="620"/>
      <c r="GS73" s="620"/>
      <c r="GT73" s="620"/>
      <c r="GU73" s="620"/>
      <c r="GV73" s="620"/>
      <c r="GW73" s="620"/>
      <c r="GX73" s="620"/>
      <c r="GY73" s="620"/>
      <c r="GZ73" s="620"/>
      <c r="HA73" s="620"/>
      <c r="HB73" s="620"/>
      <c r="HC73" s="620"/>
      <c r="HD73" s="620"/>
      <c r="HE73" s="620"/>
      <c r="HF73" s="620"/>
      <c r="HG73" s="620"/>
      <c r="HH73" s="620"/>
      <c r="HI73" s="620"/>
      <c r="HJ73" s="620"/>
      <c r="HK73" s="620"/>
      <c r="HL73" s="620"/>
      <c r="HM73" s="620"/>
      <c r="HN73" s="620"/>
      <c r="HO73" s="620"/>
      <c r="HP73" s="620"/>
      <c r="HQ73" s="620"/>
      <c r="HR73" s="620"/>
      <c r="HS73" s="620"/>
      <c r="HT73" s="620"/>
      <c r="HU73" s="620"/>
      <c r="HV73" s="620"/>
      <c r="HW73" s="620"/>
      <c r="HX73" s="620"/>
      <c r="HY73" s="620"/>
      <c r="HZ73" s="620"/>
      <c r="IA73" s="620"/>
      <c r="IB73" s="620"/>
      <c r="IC73" s="620"/>
      <c r="ID73" s="620"/>
      <c r="IE73" s="620"/>
      <c r="IF73" s="620"/>
      <c r="IG73" s="620"/>
      <c r="IH73" s="620"/>
      <c r="II73" s="620"/>
      <c r="IJ73" s="620"/>
      <c r="IK73" s="620"/>
      <c r="IL73" s="620"/>
      <c r="IM73" s="620"/>
      <c r="IN73" s="620"/>
      <c r="IO73" s="620"/>
      <c r="IP73" s="620"/>
      <c r="IQ73" s="620"/>
      <c r="IR73" s="620"/>
      <c r="IS73" s="620"/>
      <c r="IT73" s="620"/>
      <c r="IU73" s="620"/>
      <c r="IV73" s="620"/>
      <c r="IW73" s="620"/>
      <c r="IX73" s="620"/>
      <c r="IY73" s="620"/>
      <c r="IZ73" s="620"/>
      <c r="JA73" s="620"/>
      <c r="JB73" s="620"/>
      <c r="JC73" s="620"/>
      <c r="JD73" s="620"/>
      <c r="JE73" s="620"/>
      <c r="JF73" s="620"/>
      <c r="JG73" s="620"/>
      <c r="JH73" s="620"/>
      <c r="JI73" s="620"/>
      <c r="JJ73" s="620"/>
      <c r="JK73" s="620"/>
      <c r="JL73" s="620"/>
      <c r="JM73" s="620"/>
      <c r="JN73" s="620"/>
      <c r="JO73" s="620"/>
      <c r="JP73" s="620"/>
      <c r="JQ73" s="620"/>
      <c r="JR73" s="620"/>
      <c r="JS73" s="620"/>
      <c r="JT73" s="620"/>
      <c r="JU73" s="620"/>
      <c r="JV73" s="620"/>
      <c r="JW73" s="620"/>
      <c r="JX73" s="620"/>
      <c r="JY73" s="620"/>
      <c r="JZ73" s="620"/>
      <c r="KA73" s="620"/>
      <c r="KB73" s="620"/>
      <c r="KC73" s="620"/>
      <c r="KD73" s="620"/>
      <c r="KE73" s="620"/>
      <c r="KF73" s="620"/>
      <c r="KG73" s="620"/>
      <c r="KH73" s="620"/>
      <c r="KI73" s="620"/>
      <c r="KJ73" s="620"/>
      <c r="KK73" s="620"/>
      <c r="KL73" s="620"/>
      <c r="KM73" s="620"/>
      <c r="KN73" s="620"/>
      <c r="KO73" s="620"/>
      <c r="KP73" s="620"/>
      <c r="KQ73" s="620"/>
      <c r="KR73" s="620"/>
      <c r="KS73" s="620"/>
      <c r="KT73" s="620"/>
      <c r="KU73" s="620"/>
      <c r="KV73" s="620"/>
      <c r="KW73" s="620"/>
      <c r="KX73" s="620"/>
      <c r="KY73" s="620"/>
      <c r="KZ73" s="620"/>
      <c r="LA73" s="620"/>
      <c r="LB73" s="620"/>
      <c r="LC73" s="620"/>
      <c r="LD73" s="620"/>
      <c r="LE73" s="620"/>
      <c r="LF73" s="620"/>
      <c r="LG73" s="620"/>
      <c r="LH73" s="620"/>
      <c r="LI73" s="620"/>
      <c r="LJ73" s="620"/>
      <c r="LK73" s="620"/>
      <c r="LL73" s="620"/>
      <c r="LM73" s="620"/>
      <c r="LN73" s="620"/>
      <c r="LO73" s="620"/>
      <c r="LP73" s="620"/>
      <c r="LQ73" s="620"/>
      <c r="LR73" s="620"/>
      <c r="LS73" s="620"/>
      <c r="LT73" s="620"/>
      <c r="LU73" s="620"/>
      <c r="LV73" s="620"/>
      <c r="LW73" s="620"/>
      <c r="LX73" s="620"/>
      <c r="LY73" s="620"/>
      <c r="LZ73" s="620"/>
      <c r="MA73" s="620"/>
      <c r="MB73" s="620"/>
      <c r="MC73" s="620"/>
      <c r="MD73" s="620"/>
      <c r="ME73" s="620"/>
      <c r="MF73" s="620"/>
      <c r="MG73" s="620"/>
      <c r="MH73" s="620"/>
      <c r="MI73" s="620"/>
      <c r="MJ73" s="620"/>
      <c r="MK73" s="620"/>
      <c r="ML73" s="620"/>
      <c r="MM73" s="620"/>
      <c r="MN73" s="620"/>
      <c r="MO73" s="620"/>
      <c r="MP73" s="620"/>
      <c r="MQ73" s="620"/>
      <c r="MR73" s="620"/>
      <c r="MS73" s="620"/>
      <c r="MT73" s="620"/>
      <c r="MU73" s="620"/>
      <c r="MV73" s="620"/>
      <c r="MW73" s="620"/>
      <c r="MX73" s="620"/>
      <c r="MY73" s="620"/>
      <c r="MZ73" s="620"/>
      <c r="NA73" s="620"/>
      <c r="NB73" s="620"/>
      <c r="NC73" s="620"/>
      <c r="ND73" s="620"/>
      <c r="NE73" s="620"/>
      <c r="NF73" s="620"/>
      <c r="NG73" s="620"/>
      <c r="NH73" s="620"/>
      <c r="NI73" s="620"/>
      <c r="NJ73" s="620"/>
      <c r="NK73" s="620"/>
      <c r="NL73" s="620"/>
      <c r="NM73" s="620"/>
      <c r="NN73" s="620"/>
      <c r="NO73" s="620"/>
      <c r="NP73" s="620"/>
      <c r="NQ73" s="620"/>
      <c r="NR73" s="620"/>
      <c r="NS73" s="620"/>
      <c r="NT73" s="620"/>
      <c r="NU73" s="620"/>
      <c r="NV73" s="620"/>
      <c r="NW73" s="620"/>
      <c r="NX73" s="620"/>
      <c r="NY73" s="620"/>
      <c r="NZ73" s="620"/>
      <c r="OA73" s="620"/>
      <c r="OB73" s="620"/>
      <c r="OC73" s="620"/>
      <c r="OD73" s="620"/>
      <c r="OE73" s="620"/>
      <c r="OF73" s="620"/>
      <c r="OG73" s="620"/>
      <c r="OH73" s="620"/>
      <c r="OI73" s="620"/>
      <c r="OJ73" s="620"/>
      <c r="OK73" s="620"/>
      <c r="OL73" s="620"/>
      <c r="OM73" s="620"/>
      <c r="ON73" s="620"/>
      <c r="OO73" s="620"/>
      <c r="OP73" s="620"/>
      <c r="OQ73" s="620"/>
      <c r="OR73" s="620"/>
      <c r="OS73" s="620"/>
      <c r="OT73" s="620"/>
      <c r="OU73" s="620"/>
      <c r="OV73" s="620"/>
      <c r="OW73" s="620"/>
      <c r="OX73" s="620"/>
      <c r="OY73" s="620"/>
      <c r="OZ73" s="620"/>
      <c r="PA73" s="620"/>
      <c r="PB73" s="620"/>
      <c r="PC73" s="620"/>
      <c r="PD73" s="620"/>
      <c r="PE73" s="620"/>
      <c r="PF73" s="620"/>
      <c r="PG73" s="620"/>
      <c r="PH73" s="620"/>
      <c r="PI73" s="620"/>
      <c r="PJ73" s="620"/>
      <c r="PK73" s="620"/>
      <c r="PL73" s="620"/>
      <c r="PM73" s="620"/>
      <c r="PN73" s="620"/>
      <c r="PO73" s="620"/>
      <c r="PP73" s="620"/>
      <c r="PQ73" s="620"/>
      <c r="PR73" s="620"/>
      <c r="PS73" s="620"/>
      <c r="PT73" s="620"/>
      <c r="PU73" s="620"/>
      <c r="PV73" s="620"/>
      <c r="PW73" s="620"/>
      <c r="PX73" s="620"/>
      <c r="PY73" s="620"/>
      <c r="PZ73" s="620"/>
      <c r="QA73" s="620"/>
      <c r="QB73" s="620"/>
      <c r="QC73" s="620"/>
      <c r="QD73" s="620"/>
      <c r="QE73" s="620"/>
      <c r="QF73" s="620"/>
      <c r="QG73" s="620"/>
      <c r="QH73" s="620"/>
      <c r="QI73" s="620"/>
      <c r="QJ73" s="620"/>
      <c r="QK73" s="620"/>
      <c r="QL73" s="620"/>
      <c r="QM73" s="620"/>
      <c r="QN73" s="620"/>
      <c r="QO73" s="620"/>
      <c r="QP73" s="620"/>
      <c r="QQ73" s="620"/>
      <c r="QR73" s="620"/>
      <c r="QS73" s="620"/>
      <c r="QT73" s="620"/>
      <c r="QU73" s="620"/>
      <c r="QV73" s="620"/>
      <c r="QW73" s="620"/>
      <c r="QX73" s="620"/>
      <c r="QY73" s="620"/>
      <c r="QZ73" s="620"/>
      <c r="RA73" s="620"/>
      <c r="RB73" s="620"/>
      <c r="RC73" s="620"/>
      <c r="RD73" s="620"/>
      <c r="RE73" s="620"/>
      <c r="RF73" s="620"/>
      <c r="RG73" s="620"/>
      <c r="RH73" s="620"/>
      <c r="RI73" s="620"/>
      <c r="RJ73" s="620"/>
      <c r="RK73" s="620"/>
      <c r="RL73" s="620"/>
      <c r="RM73" s="620"/>
      <c r="RN73" s="620"/>
      <c r="RO73" s="620"/>
      <c r="RP73" s="620"/>
      <c r="RQ73" s="620"/>
      <c r="RR73" s="620"/>
      <c r="RS73" s="620"/>
      <c r="RT73" s="620"/>
      <c r="RU73" s="620"/>
      <c r="RV73" s="620"/>
      <c r="RW73" s="620"/>
      <c r="RX73" s="620"/>
      <c r="RY73" s="620"/>
      <c r="RZ73" s="620"/>
      <c r="SA73" s="620"/>
      <c r="SB73" s="620"/>
      <c r="SC73" s="620"/>
      <c r="SD73" s="620"/>
      <c r="SE73" s="620"/>
      <c r="SF73" s="620"/>
      <c r="SG73" s="620"/>
      <c r="SH73" s="620"/>
      <c r="SI73" s="620"/>
      <c r="SJ73" s="620"/>
      <c r="SK73" s="620"/>
      <c r="SL73" s="620"/>
      <c r="SM73" s="620"/>
      <c r="SN73" s="620"/>
      <c r="SO73" s="620"/>
      <c r="SP73" s="620"/>
      <c r="SQ73" s="620"/>
      <c r="SR73" s="620"/>
      <c r="SS73" s="620"/>
      <c r="ST73" s="620"/>
      <c r="SU73" s="620"/>
      <c r="SV73" s="620"/>
      <c r="SW73" s="620"/>
      <c r="SX73" s="620"/>
      <c r="SY73" s="620"/>
      <c r="SZ73" s="620"/>
      <c r="TA73" s="620"/>
      <c r="TB73" s="620"/>
      <c r="TC73" s="620"/>
      <c r="TD73" s="620"/>
      <c r="TE73" s="620"/>
      <c r="TF73" s="620"/>
      <c r="TG73" s="620"/>
      <c r="TH73" s="620"/>
      <c r="TI73" s="620"/>
      <c r="TJ73" s="620"/>
      <c r="TK73" s="620"/>
      <c r="TL73" s="620"/>
      <c r="TM73" s="620"/>
      <c r="TN73" s="620"/>
      <c r="TO73" s="620"/>
      <c r="TP73" s="620"/>
      <c r="TQ73" s="620"/>
      <c r="TR73" s="620"/>
      <c r="TS73" s="620"/>
      <c r="TT73" s="620"/>
      <c r="TU73" s="620"/>
      <c r="TV73" s="620"/>
      <c r="TW73" s="620"/>
      <c r="TX73" s="620"/>
      <c r="TY73" s="620"/>
      <c r="TZ73" s="620"/>
      <c r="UA73" s="620"/>
      <c r="UB73" s="620"/>
      <c r="UC73" s="620"/>
      <c r="UD73" s="620"/>
      <c r="UE73" s="620"/>
      <c r="UF73" s="620"/>
      <c r="UG73" s="620"/>
      <c r="UH73" s="620"/>
      <c r="UI73" s="620"/>
      <c r="UJ73" s="620"/>
      <c r="UK73" s="620"/>
      <c r="UL73" s="620"/>
      <c r="UM73" s="620"/>
      <c r="UN73" s="620"/>
      <c r="UO73" s="620"/>
      <c r="UP73" s="620"/>
      <c r="UQ73" s="620"/>
      <c r="UR73" s="620"/>
      <c r="US73" s="620"/>
      <c r="UT73" s="620"/>
      <c r="UU73" s="620"/>
      <c r="UV73" s="620"/>
      <c r="UW73" s="620"/>
      <c r="UX73" s="620"/>
      <c r="UY73" s="620"/>
      <c r="UZ73" s="620"/>
      <c r="VA73" s="620"/>
      <c r="VB73" s="620"/>
      <c r="VC73" s="620"/>
      <c r="VD73" s="620"/>
      <c r="VE73" s="620"/>
      <c r="VF73" s="620"/>
      <c r="VG73" s="620"/>
      <c r="VH73" s="620"/>
      <c r="VI73" s="620"/>
      <c r="VJ73" s="620"/>
      <c r="VK73" s="620"/>
      <c r="VL73" s="620"/>
      <c r="VM73" s="620"/>
      <c r="VN73" s="620"/>
      <c r="VO73" s="620"/>
      <c r="VP73" s="620"/>
      <c r="VQ73" s="620"/>
      <c r="VR73" s="620"/>
      <c r="VS73" s="620"/>
      <c r="VT73" s="620"/>
      <c r="VU73" s="620"/>
      <c r="VV73" s="620"/>
      <c r="VW73" s="620"/>
      <c r="VX73" s="620"/>
      <c r="VY73" s="620"/>
      <c r="VZ73" s="620"/>
      <c r="WA73" s="620"/>
      <c r="WB73" s="620"/>
      <c r="WC73" s="620"/>
      <c r="WD73" s="620"/>
      <c r="WE73" s="620"/>
      <c r="WF73" s="620"/>
      <c r="WG73" s="620"/>
      <c r="WH73" s="620"/>
      <c r="WI73" s="620"/>
      <c r="WJ73" s="620"/>
      <c r="WK73" s="620"/>
      <c r="WL73" s="620"/>
      <c r="WM73" s="620"/>
      <c r="WN73" s="620"/>
      <c r="WO73" s="620"/>
      <c r="WP73" s="620"/>
      <c r="WQ73" s="620"/>
      <c r="WR73" s="620"/>
      <c r="WS73" s="620"/>
      <c r="WT73" s="620"/>
      <c r="WU73" s="620"/>
      <c r="WV73" s="620"/>
      <c r="WW73" s="620"/>
      <c r="WX73" s="620"/>
      <c r="WY73" s="620"/>
      <c r="WZ73" s="620"/>
      <c r="XA73" s="620"/>
      <c r="XB73" s="620"/>
      <c r="XC73" s="620"/>
      <c r="XD73" s="620"/>
      <c r="XE73" s="620"/>
      <c r="XF73" s="620"/>
      <c r="XG73" s="620"/>
      <c r="XH73" s="620"/>
      <c r="XI73" s="620"/>
      <c r="XJ73" s="620"/>
      <c r="XK73" s="620"/>
      <c r="XL73" s="620"/>
      <c r="XM73" s="620"/>
      <c r="XN73" s="620"/>
      <c r="XO73" s="620"/>
      <c r="XP73" s="620"/>
      <c r="XQ73" s="620"/>
      <c r="XR73" s="620"/>
      <c r="XS73" s="620"/>
      <c r="XT73" s="620"/>
      <c r="XU73" s="620"/>
      <c r="XV73" s="620"/>
      <c r="XW73" s="620"/>
      <c r="XX73" s="620"/>
      <c r="XY73" s="620"/>
      <c r="XZ73" s="620"/>
      <c r="YA73" s="620"/>
      <c r="YB73" s="620"/>
      <c r="YC73" s="620"/>
      <c r="YD73" s="620"/>
      <c r="YE73" s="620"/>
      <c r="YF73" s="620"/>
      <c r="YG73" s="620"/>
      <c r="YH73" s="620"/>
      <c r="YI73" s="620"/>
      <c r="YJ73" s="620"/>
      <c r="YK73" s="620"/>
      <c r="YL73" s="620"/>
      <c r="YM73" s="620"/>
      <c r="YN73" s="620"/>
      <c r="YO73" s="620"/>
      <c r="YP73" s="620"/>
      <c r="YQ73" s="620"/>
      <c r="YR73" s="620"/>
      <c r="YS73" s="620"/>
      <c r="YT73" s="620"/>
      <c r="YU73" s="620"/>
      <c r="YV73" s="620"/>
      <c r="YW73" s="620"/>
      <c r="YX73" s="620"/>
      <c r="YY73" s="620"/>
      <c r="YZ73" s="620"/>
      <c r="ZA73" s="620"/>
      <c r="ZB73" s="620"/>
      <c r="ZC73" s="620"/>
      <c r="ZD73" s="620"/>
      <c r="ZE73" s="620"/>
      <c r="ZF73" s="620"/>
      <c r="ZG73" s="620"/>
      <c r="ZH73" s="620"/>
      <c r="ZI73" s="620"/>
      <c r="ZJ73" s="620"/>
      <c r="ZK73" s="620"/>
      <c r="ZL73" s="620"/>
      <c r="ZM73" s="620"/>
      <c r="ZN73" s="620"/>
      <c r="ZO73" s="620"/>
      <c r="ZP73" s="620"/>
      <c r="ZQ73" s="620"/>
      <c r="ZR73" s="620"/>
      <c r="ZS73" s="620"/>
      <c r="ZT73" s="620"/>
      <c r="ZU73" s="620"/>
      <c r="ZV73" s="620"/>
      <c r="ZW73" s="620"/>
      <c r="ZX73" s="620"/>
      <c r="ZY73" s="620"/>
      <c r="ZZ73" s="620"/>
      <c r="AAA73" s="620"/>
      <c r="AAB73" s="620"/>
      <c r="AAC73" s="620"/>
      <c r="AAD73" s="620"/>
      <c r="AAE73" s="620"/>
      <c r="AAF73" s="620"/>
      <c r="AAG73" s="620"/>
      <c r="AAH73" s="620"/>
      <c r="AAI73" s="620"/>
      <c r="AAJ73" s="620"/>
      <c r="AAK73" s="620"/>
      <c r="AAL73" s="620"/>
      <c r="AAM73" s="620"/>
      <c r="AAN73" s="620"/>
      <c r="AAO73" s="620"/>
      <c r="AAP73" s="620"/>
      <c r="AAQ73" s="620"/>
      <c r="AAR73" s="620"/>
      <c r="AAS73" s="620"/>
      <c r="AAT73" s="620"/>
      <c r="AAU73" s="620"/>
      <c r="AAV73" s="620"/>
      <c r="AAW73" s="620"/>
      <c r="AAX73" s="620"/>
      <c r="AAY73" s="620"/>
      <c r="AAZ73" s="620"/>
      <c r="ABA73" s="620"/>
      <c r="ABB73" s="620"/>
      <c r="ABC73" s="620"/>
      <c r="ABD73" s="620"/>
      <c r="ABE73" s="620"/>
      <c r="ABF73" s="620"/>
      <c r="ABG73" s="620"/>
      <c r="ABH73" s="620"/>
      <c r="ABI73" s="620"/>
      <c r="ABJ73" s="620"/>
      <c r="ABK73" s="620"/>
      <c r="ABL73" s="620"/>
      <c r="ABM73" s="620"/>
      <c r="ABN73" s="620"/>
      <c r="ABO73" s="620"/>
      <c r="ABP73" s="620"/>
      <c r="ABQ73" s="620"/>
      <c r="ABR73" s="620"/>
      <c r="ABS73" s="620"/>
      <c r="ABT73" s="620"/>
      <c r="ABU73" s="620"/>
      <c r="ABV73" s="620"/>
      <c r="ABW73" s="620"/>
      <c r="ABX73" s="620"/>
      <c r="ABY73" s="620"/>
      <c r="ABZ73" s="620"/>
      <c r="ACA73" s="620"/>
      <c r="ACB73" s="620"/>
      <c r="ACC73" s="620"/>
      <c r="ACD73" s="620"/>
      <c r="ACE73" s="620"/>
      <c r="ACF73" s="620"/>
      <c r="ACG73" s="620"/>
      <c r="ACH73" s="620"/>
      <c r="ACI73" s="620"/>
      <c r="ACJ73" s="620"/>
      <c r="ACK73" s="620"/>
      <c r="ACL73" s="620"/>
      <c r="ACM73" s="620"/>
      <c r="ACN73" s="620"/>
      <c r="ACO73" s="620"/>
      <c r="ACP73" s="620"/>
      <c r="ACQ73" s="620"/>
      <c r="ACR73" s="620"/>
      <c r="ACS73" s="620"/>
      <c r="ACT73" s="620"/>
      <c r="ACU73" s="620"/>
      <c r="ACV73" s="620"/>
      <c r="ACW73" s="620"/>
      <c r="ACX73" s="620"/>
      <c r="ACY73" s="620"/>
      <c r="ACZ73" s="620"/>
      <c r="ADA73" s="620"/>
      <c r="ADB73" s="620"/>
      <c r="ADC73" s="620"/>
      <c r="ADD73" s="620"/>
      <c r="ADE73" s="620"/>
      <c r="ADF73" s="620"/>
      <c r="ADG73" s="620"/>
      <c r="ADH73" s="620"/>
      <c r="ADI73" s="620"/>
      <c r="ADJ73" s="620"/>
      <c r="ADK73" s="620"/>
      <c r="ADL73" s="620"/>
      <c r="ADM73" s="620"/>
      <c r="ADN73" s="620"/>
      <c r="ADO73" s="620"/>
      <c r="ADP73" s="620"/>
      <c r="ADQ73" s="620"/>
      <c r="ADR73" s="620"/>
      <c r="ADS73" s="620"/>
      <c r="ADT73" s="620"/>
      <c r="ADU73" s="620"/>
      <c r="ADV73" s="620"/>
      <c r="ADW73" s="620"/>
      <c r="ADX73" s="620"/>
      <c r="ADY73" s="620"/>
      <c r="ADZ73" s="620"/>
      <c r="AEA73" s="620"/>
      <c r="AEB73" s="620"/>
      <c r="AEC73" s="620"/>
      <c r="AED73" s="620"/>
      <c r="AEE73" s="620"/>
      <c r="AEF73" s="620"/>
      <c r="AEG73" s="620"/>
      <c r="AEH73" s="620"/>
      <c r="AEI73" s="620"/>
      <c r="AEJ73" s="620"/>
      <c r="AEK73" s="620"/>
      <c r="AEL73" s="620"/>
      <c r="AEM73" s="620"/>
      <c r="AEN73" s="620"/>
      <c r="AEO73" s="620"/>
      <c r="AEP73" s="620"/>
      <c r="AEQ73" s="620"/>
      <c r="AER73" s="620"/>
      <c r="AES73" s="620"/>
      <c r="AET73" s="620"/>
      <c r="AEU73" s="620"/>
      <c r="AEV73" s="620"/>
      <c r="AEW73" s="620"/>
      <c r="AEX73" s="620"/>
      <c r="AEY73" s="620"/>
      <c r="AEZ73" s="620"/>
      <c r="AFA73" s="620"/>
      <c r="AFB73" s="620"/>
      <c r="AFC73" s="620"/>
      <c r="AFD73" s="620"/>
      <c r="AFE73" s="620"/>
      <c r="AFF73" s="620"/>
      <c r="AFG73" s="620"/>
      <c r="AFH73" s="620"/>
      <c r="AFI73" s="620"/>
      <c r="AFJ73" s="620"/>
      <c r="AFK73" s="620"/>
      <c r="AFL73" s="620"/>
      <c r="AFM73" s="620"/>
      <c r="AFN73" s="620"/>
      <c r="AFO73" s="620"/>
      <c r="AFP73" s="620"/>
      <c r="AFQ73" s="620"/>
      <c r="AFR73" s="620"/>
      <c r="AFS73" s="620"/>
      <c r="AFT73" s="620"/>
      <c r="AFU73" s="620"/>
      <c r="AFV73" s="620"/>
      <c r="AFW73" s="620"/>
      <c r="AFX73" s="620"/>
      <c r="AFY73" s="620"/>
      <c r="AFZ73" s="620"/>
      <c r="AGA73" s="620"/>
      <c r="AGB73" s="620"/>
      <c r="AGC73" s="620"/>
      <c r="AGD73" s="620"/>
      <c r="AGE73" s="620"/>
      <c r="AGF73" s="620"/>
      <c r="AGG73" s="620"/>
      <c r="AGH73" s="620"/>
      <c r="AGI73" s="620"/>
      <c r="AGJ73" s="620"/>
      <c r="AGK73" s="620"/>
      <c r="AGL73" s="620"/>
      <c r="AGM73" s="620"/>
      <c r="AGN73" s="620"/>
      <c r="AGO73" s="620"/>
      <c r="AGP73" s="620"/>
      <c r="AGQ73" s="620"/>
      <c r="AGR73" s="620"/>
      <c r="AGS73" s="620"/>
      <c r="AGT73" s="620"/>
      <c r="AGU73" s="620"/>
      <c r="AGV73" s="620"/>
      <c r="AGW73" s="620"/>
      <c r="AGX73" s="620"/>
      <c r="AGY73" s="620"/>
      <c r="AGZ73" s="620"/>
      <c r="AHA73" s="620"/>
      <c r="AHB73" s="620"/>
      <c r="AHC73" s="620"/>
      <c r="AHD73" s="620"/>
      <c r="AHE73" s="620"/>
      <c r="AHF73" s="620"/>
      <c r="AHG73" s="620"/>
      <c r="AHH73" s="620"/>
      <c r="AHI73" s="620"/>
      <c r="AHJ73" s="620"/>
      <c r="AHK73" s="620"/>
      <c r="AHL73" s="620"/>
      <c r="AHM73" s="620"/>
      <c r="AHN73" s="620"/>
      <c r="AHO73" s="620"/>
      <c r="AHP73" s="620"/>
      <c r="AHQ73" s="620"/>
      <c r="AHR73" s="620"/>
      <c r="AHS73" s="620"/>
      <c r="AHT73" s="620"/>
      <c r="AHU73" s="620"/>
      <c r="AHV73" s="620"/>
      <c r="AHW73" s="620"/>
      <c r="AHX73" s="620"/>
      <c r="AHY73" s="620"/>
      <c r="AHZ73" s="620"/>
      <c r="AIA73" s="620"/>
      <c r="AIB73" s="620"/>
      <c r="AIC73" s="620"/>
      <c r="AID73" s="620"/>
      <c r="AIE73" s="620"/>
      <c r="AIF73" s="620"/>
      <c r="AIG73" s="620"/>
      <c r="AIH73" s="620"/>
      <c r="AII73" s="620"/>
      <c r="AIJ73" s="620"/>
      <c r="AIK73" s="620"/>
      <c r="AIL73" s="620"/>
      <c r="AIM73" s="620"/>
      <c r="AIN73" s="620"/>
      <c r="AIO73" s="620"/>
      <c r="AIP73" s="620"/>
      <c r="AIQ73" s="620"/>
      <c r="AIR73" s="620"/>
      <c r="AIS73" s="620"/>
      <c r="AIT73" s="620"/>
      <c r="AIU73" s="620"/>
      <c r="AIV73" s="620"/>
      <c r="AIW73" s="620"/>
      <c r="AIX73" s="620"/>
      <c r="AIY73" s="620"/>
      <c r="AIZ73" s="620"/>
      <c r="AJA73" s="620"/>
      <c r="AJB73" s="620"/>
      <c r="AJC73" s="620"/>
      <c r="AJD73" s="620"/>
      <c r="AJE73" s="620"/>
      <c r="AJF73" s="620"/>
      <c r="AJG73" s="620"/>
      <c r="AJH73" s="620"/>
      <c r="AJI73" s="620"/>
      <c r="AJJ73" s="620"/>
      <c r="AJK73" s="620"/>
      <c r="AJL73" s="620"/>
      <c r="AJM73" s="620"/>
      <c r="AJN73" s="620"/>
      <c r="AJO73" s="620"/>
      <c r="AJP73" s="620"/>
      <c r="AJQ73" s="620"/>
      <c r="AJR73" s="620"/>
      <c r="AJS73" s="620"/>
      <c r="AJT73" s="620"/>
      <c r="AJU73" s="620"/>
      <c r="AJV73" s="620"/>
      <c r="AJW73" s="620"/>
      <c r="AJX73" s="620"/>
      <c r="AJY73" s="620"/>
      <c r="AJZ73" s="620"/>
      <c r="AKA73" s="620"/>
      <c r="AKB73" s="620"/>
      <c r="AKC73" s="620"/>
      <c r="AKD73" s="620"/>
      <c r="AKE73" s="620"/>
      <c r="AKF73" s="620"/>
      <c r="AKG73" s="620"/>
      <c r="AKH73" s="620"/>
      <c r="AKI73" s="620"/>
      <c r="AKJ73" s="620"/>
      <c r="AKK73" s="620"/>
      <c r="AKL73" s="620"/>
      <c r="AKM73" s="620"/>
      <c r="AKN73" s="620"/>
      <c r="AKO73" s="620"/>
      <c r="AKP73" s="620"/>
      <c r="AKQ73" s="620"/>
      <c r="AKR73" s="620"/>
      <c r="AKS73" s="620"/>
      <c r="AKT73" s="620"/>
      <c r="AKU73" s="620"/>
      <c r="AKV73" s="620"/>
      <c r="AKW73" s="620"/>
      <c r="AKX73" s="620"/>
      <c r="AKY73" s="620"/>
      <c r="AKZ73" s="620"/>
      <c r="ALA73" s="620"/>
      <c r="ALB73" s="620"/>
      <c r="ALC73" s="620"/>
      <c r="ALD73" s="620"/>
      <c r="ALE73" s="620"/>
      <c r="ALF73" s="620"/>
      <c r="ALG73" s="620"/>
      <c r="ALH73" s="620"/>
      <c r="ALI73" s="620"/>
      <c r="ALJ73" s="620"/>
      <c r="ALK73" s="620"/>
      <c r="ALL73" s="620"/>
      <c r="ALM73" s="620"/>
      <c r="ALN73" s="620"/>
      <c r="ALO73" s="620"/>
      <c r="ALP73" s="620"/>
      <c r="ALQ73" s="620"/>
      <c r="ALR73" s="620"/>
      <c r="ALS73" s="620"/>
      <c r="ALT73" s="620"/>
      <c r="ALU73" s="620"/>
      <c r="ALV73" s="620"/>
      <c r="ALW73" s="620"/>
      <c r="ALX73" s="620"/>
      <c r="ALY73" s="620"/>
      <c r="ALZ73" s="620"/>
    </row>
    <row r="74" spans="1:1014" s="224" customFormat="1" ht="13.5" customHeight="1">
      <c r="A74" s="225">
        <v>66</v>
      </c>
      <c r="B74" s="217"/>
      <c r="C74" s="217" t="s">
        <v>264</v>
      </c>
      <c r="D74" s="217"/>
      <c r="E74" s="217"/>
      <c r="F74" s="217"/>
      <c r="G74" s="217"/>
      <c r="H74" s="575"/>
      <c r="I74" s="611" t="s">
        <v>1207</v>
      </c>
      <c r="J74" s="575" t="s">
        <v>1208</v>
      </c>
      <c r="K74" s="611"/>
      <c r="L74" s="575"/>
      <c r="M74" s="575"/>
      <c r="N74" s="575"/>
      <c r="O74" s="575"/>
      <c r="P74" s="252"/>
      <c r="Q74" s="575" t="s">
        <v>820</v>
      </c>
      <c r="R74" s="575"/>
      <c r="S74" s="619" t="s">
        <v>863</v>
      </c>
      <c r="T74" s="282" t="s">
        <v>864</v>
      </c>
      <c r="U74" s="575" t="s">
        <v>1209</v>
      </c>
      <c r="V74" s="614" t="s">
        <v>864</v>
      </c>
      <c r="W74" s="614" t="s">
        <v>864</v>
      </c>
      <c r="X74" s="232"/>
      <c r="Y74" s="615"/>
      <c r="Z74" s="575" t="s">
        <v>1210</v>
      </c>
      <c r="AA74" s="245" t="s">
        <v>1211</v>
      </c>
      <c r="AB74" s="575"/>
      <c r="AC74" s="613"/>
      <c r="AD74" s="613">
        <v>1</v>
      </c>
      <c r="AE74" s="614" t="s">
        <v>864</v>
      </c>
    </row>
    <row r="75" spans="1:1014" s="224" customFormat="1" ht="13.5" customHeight="1">
      <c r="A75" s="225">
        <v>67</v>
      </c>
      <c r="B75" s="217"/>
      <c r="C75" s="217" t="s">
        <v>1610</v>
      </c>
      <c r="D75" s="217"/>
      <c r="E75" s="217"/>
      <c r="F75" s="217"/>
      <c r="G75" s="217"/>
      <c r="H75" s="575" t="s">
        <v>1212</v>
      </c>
      <c r="I75" s="611" t="s">
        <v>1213</v>
      </c>
      <c r="J75" s="575" t="s">
        <v>1214</v>
      </c>
      <c r="K75" s="611" t="s">
        <v>939</v>
      </c>
      <c r="L75" s="575" t="s">
        <v>1215</v>
      </c>
      <c r="M75" s="575" t="s">
        <v>1216</v>
      </c>
      <c r="N75" s="575"/>
      <c r="O75" s="575"/>
      <c r="P75" s="252"/>
      <c r="Q75" s="575" t="s">
        <v>817</v>
      </c>
      <c r="R75" s="575"/>
      <c r="S75" s="575" t="s">
        <v>863</v>
      </c>
      <c r="T75" s="613"/>
      <c r="U75" s="575"/>
      <c r="V75" s="614" t="s">
        <v>864</v>
      </c>
      <c r="W75" s="614" t="s">
        <v>864</v>
      </c>
      <c r="X75" s="232"/>
      <c r="Y75" s="615"/>
      <c r="Z75" s="575"/>
      <c r="AA75" s="616"/>
      <c r="AB75" s="575"/>
      <c r="AC75" s="613">
        <v>1</v>
      </c>
      <c r="AD75" s="613">
        <v>1</v>
      </c>
      <c r="AE75" s="614" t="s">
        <v>864</v>
      </c>
    </row>
    <row r="76" spans="1:1014" s="224" customFormat="1" ht="13.5" customHeight="1">
      <c r="A76" s="225">
        <v>68</v>
      </c>
      <c r="B76" s="217" t="s">
        <v>1217</v>
      </c>
      <c r="C76" s="242"/>
      <c r="D76" s="241"/>
      <c r="E76" s="241"/>
      <c r="F76" s="241"/>
      <c r="G76" s="241"/>
      <c r="H76" s="575" t="s">
        <v>1218</v>
      </c>
      <c r="I76" s="611"/>
      <c r="J76" s="575" t="s">
        <v>1219</v>
      </c>
      <c r="K76" s="611" t="s">
        <v>1220</v>
      </c>
      <c r="L76" s="575"/>
      <c r="M76" s="575"/>
      <c r="N76" s="575"/>
      <c r="O76" s="575"/>
      <c r="P76" s="612"/>
      <c r="Q76" s="575" t="s">
        <v>817</v>
      </c>
      <c r="R76" s="575" t="s">
        <v>864</v>
      </c>
      <c r="S76" s="243" t="s">
        <v>1221</v>
      </c>
      <c r="T76" s="283"/>
      <c r="U76" s="575"/>
      <c r="V76" s="614" t="s">
        <v>864</v>
      </c>
      <c r="W76" s="614" t="s">
        <v>864</v>
      </c>
      <c r="X76" s="232"/>
      <c r="Y76" s="615"/>
      <c r="Z76" s="575"/>
      <c r="AA76" s="616"/>
      <c r="AB76" s="575"/>
      <c r="AC76" s="613">
        <v>1</v>
      </c>
      <c r="AD76" s="613">
        <v>1</v>
      </c>
      <c r="AE76" s="614" t="s">
        <v>864</v>
      </c>
    </row>
    <row r="77" spans="1:1014" s="231" customFormat="1" ht="13.5" customHeight="1">
      <c r="A77" s="225">
        <v>69</v>
      </c>
      <c r="B77" s="217"/>
      <c r="C77" s="610" t="s">
        <v>1222</v>
      </c>
      <c r="D77" s="610"/>
      <c r="E77" s="610"/>
      <c r="F77" s="610"/>
      <c r="G77" s="610"/>
      <c r="H77" s="575" t="s">
        <v>1223</v>
      </c>
      <c r="I77" s="611" t="s">
        <v>1224</v>
      </c>
      <c r="J77" s="575" t="s">
        <v>1225</v>
      </c>
      <c r="K77" s="611" t="s">
        <v>1205</v>
      </c>
      <c r="L77" s="575"/>
      <c r="M77" s="575"/>
      <c r="N77" s="575"/>
      <c r="O77" s="575"/>
      <c r="P77" s="612">
        <v>1</v>
      </c>
      <c r="Q77" s="575" t="s">
        <v>820</v>
      </c>
      <c r="R77" s="575"/>
      <c r="S77" s="575" t="s">
        <v>863</v>
      </c>
      <c r="T77" s="613"/>
      <c r="U77" s="575"/>
      <c r="V77" s="614" t="s">
        <v>864</v>
      </c>
      <c r="W77" s="614" t="s">
        <v>864</v>
      </c>
      <c r="X77" s="232"/>
      <c r="Y77" s="615"/>
      <c r="Z77" s="575"/>
      <c r="AA77" s="616"/>
      <c r="AB77" s="575"/>
      <c r="AC77" s="613">
        <v>1</v>
      </c>
      <c r="AD77" s="613">
        <v>1</v>
      </c>
      <c r="AE77" s="614"/>
      <c r="AF77" s="620"/>
      <c r="AG77" s="620"/>
      <c r="AH77" s="620"/>
      <c r="AI77" s="620"/>
      <c r="AJ77" s="620"/>
      <c r="AK77" s="620"/>
      <c r="AL77" s="620"/>
      <c r="AM77" s="620"/>
      <c r="AN77" s="620"/>
      <c r="AO77" s="620"/>
      <c r="AP77" s="620"/>
      <c r="AQ77" s="620"/>
      <c r="AR77" s="620"/>
      <c r="AS77" s="620"/>
      <c r="AT77" s="620"/>
      <c r="AU77" s="620"/>
      <c r="AV77" s="620"/>
      <c r="AW77" s="620"/>
      <c r="AX77" s="620"/>
      <c r="AY77" s="620"/>
      <c r="AZ77" s="620"/>
      <c r="BA77" s="620"/>
      <c r="BB77" s="620"/>
      <c r="BC77" s="620"/>
      <c r="BD77" s="620"/>
      <c r="BE77" s="620"/>
      <c r="BF77" s="620"/>
      <c r="BG77" s="620"/>
      <c r="BH77" s="620"/>
      <c r="BI77" s="620"/>
      <c r="BJ77" s="620"/>
      <c r="BK77" s="620"/>
      <c r="BL77" s="620"/>
      <c r="BM77" s="620"/>
      <c r="BN77" s="620"/>
      <c r="BO77" s="620"/>
      <c r="BP77" s="620"/>
      <c r="BQ77" s="620"/>
      <c r="BR77" s="620"/>
      <c r="BS77" s="620"/>
      <c r="BT77" s="620"/>
      <c r="BU77" s="620"/>
      <c r="BV77" s="620"/>
      <c r="BW77" s="620"/>
      <c r="BX77" s="620"/>
      <c r="BY77" s="620"/>
      <c r="BZ77" s="620"/>
      <c r="CA77" s="620"/>
      <c r="CB77" s="620"/>
      <c r="CC77" s="620"/>
      <c r="CD77" s="620"/>
      <c r="CE77" s="620"/>
      <c r="CF77" s="620"/>
      <c r="CG77" s="620"/>
      <c r="CH77" s="620"/>
      <c r="CI77" s="620"/>
      <c r="CJ77" s="620"/>
      <c r="CK77" s="620"/>
      <c r="CL77" s="620"/>
      <c r="CM77" s="620"/>
      <c r="CN77" s="620"/>
      <c r="CO77" s="620"/>
      <c r="CP77" s="620"/>
      <c r="CQ77" s="620"/>
      <c r="CR77" s="620"/>
      <c r="CS77" s="620"/>
      <c r="CT77" s="620"/>
      <c r="CU77" s="620"/>
      <c r="CV77" s="620"/>
      <c r="CW77" s="620"/>
      <c r="CX77" s="620"/>
      <c r="CY77" s="620"/>
      <c r="CZ77" s="620"/>
      <c r="DA77" s="620"/>
      <c r="DB77" s="620"/>
      <c r="DC77" s="620"/>
      <c r="DD77" s="620"/>
      <c r="DE77" s="620"/>
      <c r="DF77" s="620"/>
      <c r="DG77" s="620"/>
      <c r="DH77" s="620"/>
      <c r="DI77" s="620"/>
      <c r="DJ77" s="620"/>
      <c r="DK77" s="620"/>
      <c r="DL77" s="620"/>
      <c r="DM77" s="620"/>
      <c r="DN77" s="620"/>
      <c r="DO77" s="620"/>
      <c r="DP77" s="620"/>
      <c r="DQ77" s="620"/>
      <c r="DR77" s="620"/>
      <c r="DS77" s="620"/>
      <c r="DT77" s="620"/>
      <c r="DU77" s="620"/>
      <c r="DV77" s="620"/>
      <c r="DW77" s="620"/>
      <c r="DX77" s="620"/>
      <c r="DY77" s="620"/>
      <c r="DZ77" s="620"/>
      <c r="EA77" s="620"/>
      <c r="EB77" s="620"/>
      <c r="EC77" s="620"/>
      <c r="ED77" s="620"/>
      <c r="EE77" s="620"/>
      <c r="EF77" s="620"/>
      <c r="EG77" s="620"/>
      <c r="EH77" s="620"/>
      <c r="EI77" s="620"/>
      <c r="EJ77" s="620"/>
      <c r="EK77" s="620"/>
      <c r="EL77" s="620"/>
      <c r="EM77" s="620"/>
      <c r="EN77" s="620"/>
      <c r="EO77" s="620"/>
      <c r="EP77" s="620"/>
      <c r="EQ77" s="620"/>
      <c r="ER77" s="620"/>
      <c r="ES77" s="620"/>
      <c r="ET77" s="620"/>
      <c r="EU77" s="620"/>
      <c r="EV77" s="620"/>
      <c r="EW77" s="620"/>
      <c r="EX77" s="620"/>
      <c r="EY77" s="620"/>
      <c r="EZ77" s="620"/>
      <c r="FA77" s="620"/>
      <c r="FB77" s="620"/>
      <c r="FC77" s="620"/>
      <c r="FD77" s="620"/>
      <c r="FE77" s="620"/>
      <c r="FF77" s="620"/>
      <c r="FG77" s="620"/>
      <c r="FH77" s="620"/>
      <c r="FI77" s="620"/>
      <c r="FJ77" s="620"/>
      <c r="FK77" s="620"/>
      <c r="FL77" s="620"/>
      <c r="FM77" s="620"/>
      <c r="FN77" s="620"/>
      <c r="FO77" s="620"/>
      <c r="FP77" s="620"/>
      <c r="FQ77" s="620"/>
      <c r="FR77" s="620"/>
      <c r="FS77" s="620"/>
      <c r="FT77" s="620"/>
      <c r="FU77" s="620"/>
      <c r="FV77" s="620"/>
      <c r="FW77" s="620"/>
      <c r="FX77" s="620"/>
      <c r="FY77" s="620"/>
      <c r="FZ77" s="620"/>
      <c r="GA77" s="620"/>
      <c r="GB77" s="620"/>
      <c r="GC77" s="620"/>
      <c r="GD77" s="620"/>
      <c r="GE77" s="620"/>
      <c r="GF77" s="620"/>
      <c r="GG77" s="620"/>
      <c r="GH77" s="620"/>
      <c r="GI77" s="620"/>
      <c r="GJ77" s="620"/>
      <c r="GK77" s="620"/>
      <c r="GL77" s="620"/>
      <c r="GM77" s="620"/>
      <c r="GN77" s="620"/>
      <c r="GO77" s="620"/>
      <c r="GP77" s="620"/>
      <c r="GQ77" s="620"/>
      <c r="GR77" s="620"/>
      <c r="GS77" s="620"/>
      <c r="GT77" s="620"/>
      <c r="GU77" s="620"/>
      <c r="GV77" s="620"/>
      <c r="GW77" s="620"/>
      <c r="GX77" s="620"/>
      <c r="GY77" s="620"/>
      <c r="GZ77" s="620"/>
      <c r="HA77" s="620"/>
      <c r="HB77" s="620"/>
      <c r="HC77" s="620"/>
      <c r="HD77" s="620"/>
      <c r="HE77" s="620"/>
      <c r="HF77" s="620"/>
      <c r="HG77" s="620"/>
      <c r="HH77" s="620"/>
      <c r="HI77" s="620"/>
      <c r="HJ77" s="620"/>
      <c r="HK77" s="620"/>
      <c r="HL77" s="620"/>
      <c r="HM77" s="620"/>
      <c r="HN77" s="620"/>
      <c r="HO77" s="620"/>
      <c r="HP77" s="620"/>
      <c r="HQ77" s="620"/>
      <c r="HR77" s="620"/>
      <c r="HS77" s="620"/>
      <c r="HT77" s="620"/>
      <c r="HU77" s="620"/>
      <c r="HV77" s="620"/>
      <c r="HW77" s="620"/>
      <c r="HX77" s="620"/>
      <c r="HY77" s="620"/>
      <c r="HZ77" s="620"/>
      <c r="IA77" s="620"/>
      <c r="IB77" s="620"/>
      <c r="IC77" s="620"/>
      <c r="ID77" s="620"/>
      <c r="IE77" s="620"/>
      <c r="IF77" s="620"/>
      <c r="IG77" s="620"/>
      <c r="IH77" s="620"/>
      <c r="II77" s="620"/>
      <c r="IJ77" s="620"/>
      <c r="IK77" s="620"/>
      <c r="IL77" s="620"/>
      <c r="IM77" s="620"/>
      <c r="IN77" s="620"/>
      <c r="IO77" s="620"/>
      <c r="IP77" s="620"/>
      <c r="IQ77" s="620"/>
      <c r="IR77" s="620"/>
      <c r="IS77" s="620"/>
      <c r="IT77" s="620"/>
      <c r="IU77" s="620"/>
      <c r="IV77" s="620"/>
      <c r="IW77" s="620"/>
      <c r="IX77" s="620"/>
      <c r="IY77" s="620"/>
      <c r="IZ77" s="620"/>
      <c r="JA77" s="620"/>
      <c r="JB77" s="620"/>
      <c r="JC77" s="620"/>
      <c r="JD77" s="620"/>
      <c r="JE77" s="620"/>
      <c r="JF77" s="620"/>
      <c r="JG77" s="620"/>
      <c r="JH77" s="620"/>
      <c r="JI77" s="620"/>
      <c r="JJ77" s="620"/>
      <c r="JK77" s="620"/>
      <c r="JL77" s="620"/>
      <c r="JM77" s="620"/>
      <c r="JN77" s="620"/>
      <c r="JO77" s="620"/>
      <c r="JP77" s="620"/>
      <c r="JQ77" s="620"/>
      <c r="JR77" s="620"/>
      <c r="JS77" s="620"/>
      <c r="JT77" s="620"/>
      <c r="JU77" s="620"/>
      <c r="JV77" s="620"/>
      <c r="JW77" s="620"/>
      <c r="JX77" s="620"/>
      <c r="JY77" s="620"/>
      <c r="JZ77" s="620"/>
      <c r="KA77" s="620"/>
      <c r="KB77" s="620"/>
      <c r="KC77" s="620"/>
      <c r="KD77" s="620"/>
      <c r="KE77" s="620"/>
      <c r="KF77" s="620"/>
      <c r="KG77" s="620"/>
      <c r="KH77" s="620"/>
      <c r="KI77" s="620"/>
      <c r="KJ77" s="620"/>
      <c r="KK77" s="620"/>
      <c r="KL77" s="620"/>
      <c r="KM77" s="620"/>
      <c r="KN77" s="620"/>
      <c r="KO77" s="620"/>
      <c r="KP77" s="620"/>
      <c r="KQ77" s="620"/>
      <c r="KR77" s="620"/>
      <c r="KS77" s="620"/>
      <c r="KT77" s="620"/>
      <c r="KU77" s="620"/>
      <c r="KV77" s="620"/>
      <c r="KW77" s="620"/>
      <c r="KX77" s="620"/>
      <c r="KY77" s="620"/>
      <c r="KZ77" s="620"/>
      <c r="LA77" s="620"/>
      <c r="LB77" s="620"/>
      <c r="LC77" s="620"/>
      <c r="LD77" s="620"/>
      <c r="LE77" s="620"/>
      <c r="LF77" s="620"/>
      <c r="LG77" s="620"/>
      <c r="LH77" s="620"/>
      <c r="LI77" s="620"/>
      <c r="LJ77" s="620"/>
      <c r="LK77" s="620"/>
      <c r="LL77" s="620"/>
      <c r="LM77" s="620"/>
      <c r="LN77" s="620"/>
      <c r="LO77" s="620"/>
      <c r="LP77" s="620"/>
      <c r="LQ77" s="620"/>
      <c r="LR77" s="620"/>
      <c r="LS77" s="620"/>
      <c r="LT77" s="620"/>
      <c r="LU77" s="620"/>
      <c r="LV77" s="620"/>
      <c r="LW77" s="620"/>
      <c r="LX77" s="620"/>
      <c r="LY77" s="620"/>
      <c r="LZ77" s="620"/>
      <c r="MA77" s="620"/>
      <c r="MB77" s="620"/>
      <c r="MC77" s="620"/>
      <c r="MD77" s="620"/>
      <c r="ME77" s="620"/>
      <c r="MF77" s="620"/>
      <c r="MG77" s="620"/>
      <c r="MH77" s="620"/>
      <c r="MI77" s="620"/>
      <c r="MJ77" s="620"/>
      <c r="MK77" s="620"/>
      <c r="ML77" s="620"/>
      <c r="MM77" s="620"/>
      <c r="MN77" s="620"/>
      <c r="MO77" s="620"/>
      <c r="MP77" s="620"/>
      <c r="MQ77" s="620"/>
      <c r="MR77" s="620"/>
      <c r="MS77" s="620"/>
      <c r="MT77" s="620"/>
      <c r="MU77" s="620"/>
      <c r="MV77" s="620"/>
      <c r="MW77" s="620"/>
      <c r="MX77" s="620"/>
      <c r="MY77" s="620"/>
      <c r="MZ77" s="620"/>
      <c r="NA77" s="620"/>
      <c r="NB77" s="620"/>
      <c r="NC77" s="620"/>
      <c r="ND77" s="620"/>
      <c r="NE77" s="620"/>
      <c r="NF77" s="620"/>
      <c r="NG77" s="620"/>
      <c r="NH77" s="620"/>
      <c r="NI77" s="620"/>
      <c r="NJ77" s="620"/>
      <c r="NK77" s="620"/>
      <c r="NL77" s="620"/>
      <c r="NM77" s="620"/>
      <c r="NN77" s="620"/>
      <c r="NO77" s="620"/>
      <c r="NP77" s="620"/>
      <c r="NQ77" s="620"/>
      <c r="NR77" s="620"/>
      <c r="NS77" s="620"/>
      <c r="NT77" s="620"/>
      <c r="NU77" s="620"/>
      <c r="NV77" s="620"/>
      <c r="NW77" s="620"/>
      <c r="NX77" s="620"/>
      <c r="NY77" s="620"/>
      <c r="NZ77" s="620"/>
      <c r="OA77" s="620"/>
      <c r="OB77" s="620"/>
      <c r="OC77" s="620"/>
      <c r="OD77" s="620"/>
      <c r="OE77" s="620"/>
      <c r="OF77" s="620"/>
      <c r="OG77" s="620"/>
      <c r="OH77" s="620"/>
      <c r="OI77" s="620"/>
      <c r="OJ77" s="620"/>
      <c r="OK77" s="620"/>
      <c r="OL77" s="620"/>
      <c r="OM77" s="620"/>
      <c r="ON77" s="620"/>
      <c r="OO77" s="620"/>
      <c r="OP77" s="620"/>
      <c r="OQ77" s="620"/>
      <c r="OR77" s="620"/>
      <c r="OS77" s="620"/>
      <c r="OT77" s="620"/>
      <c r="OU77" s="620"/>
      <c r="OV77" s="620"/>
      <c r="OW77" s="620"/>
      <c r="OX77" s="620"/>
      <c r="OY77" s="620"/>
      <c r="OZ77" s="620"/>
      <c r="PA77" s="620"/>
      <c r="PB77" s="620"/>
      <c r="PC77" s="620"/>
      <c r="PD77" s="620"/>
      <c r="PE77" s="620"/>
      <c r="PF77" s="620"/>
      <c r="PG77" s="620"/>
      <c r="PH77" s="620"/>
      <c r="PI77" s="620"/>
      <c r="PJ77" s="620"/>
      <c r="PK77" s="620"/>
      <c r="PL77" s="620"/>
      <c r="PM77" s="620"/>
      <c r="PN77" s="620"/>
      <c r="PO77" s="620"/>
      <c r="PP77" s="620"/>
      <c r="PQ77" s="620"/>
      <c r="PR77" s="620"/>
      <c r="PS77" s="620"/>
      <c r="PT77" s="620"/>
      <c r="PU77" s="620"/>
      <c r="PV77" s="620"/>
      <c r="PW77" s="620"/>
      <c r="PX77" s="620"/>
      <c r="PY77" s="620"/>
      <c r="PZ77" s="620"/>
      <c r="QA77" s="620"/>
      <c r="QB77" s="620"/>
      <c r="QC77" s="620"/>
      <c r="QD77" s="620"/>
      <c r="QE77" s="620"/>
      <c r="QF77" s="620"/>
      <c r="QG77" s="620"/>
      <c r="QH77" s="620"/>
      <c r="QI77" s="620"/>
      <c r="QJ77" s="620"/>
      <c r="QK77" s="620"/>
      <c r="QL77" s="620"/>
      <c r="QM77" s="620"/>
      <c r="QN77" s="620"/>
      <c r="QO77" s="620"/>
      <c r="QP77" s="620"/>
      <c r="QQ77" s="620"/>
      <c r="QR77" s="620"/>
      <c r="QS77" s="620"/>
      <c r="QT77" s="620"/>
      <c r="QU77" s="620"/>
      <c r="QV77" s="620"/>
      <c r="QW77" s="620"/>
      <c r="QX77" s="620"/>
      <c r="QY77" s="620"/>
      <c r="QZ77" s="620"/>
      <c r="RA77" s="620"/>
      <c r="RB77" s="620"/>
      <c r="RC77" s="620"/>
      <c r="RD77" s="620"/>
      <c r="RE77" s="620"/>
      <c r="RF77" s="620"/>
      <c r="RG77" s="620"/>
      <c r="RH77" s="620"/>
      <c r="RI77" s="620"/>
      <c r="RJ77" s="620"/>
      <c r="RK77" s="620"/>
      <c r="RL77" s="620"/>
      <c r="RM77" s="620"/>
      <c r="RN77" s="620"/>
      <c r="RO77" s="620"/>
      <c r="RP77" s="620"/>
      <c r="RQ77" s="620"/>
      <c r="RR77" s="620"/>
      <c r="RS77" s="620"/>
      <c r="RT77" s="620"/>
      <c r="RU77" s="620"/>
      <c r="RV77" s="620"/>
      <c r="RW77" s="620"/>
      <c r="RX77" s="620"/>
      <c r="RY77" s="620"/>
      <c r="RZ77" s="620"/>
      <c r="SA77" s="620"/>
      <c r="SB77" s="620"/>
      <c r="SC77" s="620"/>
      <c r="SD77" s="620"/>
      <c r="SE77" s="620"/>
      <c r="SF77" s="620"/>
      <c r="SG77" s="620"/>
      <c r="SH77" s="620"/>
      <c r="SI77" s="620"/>
      <c r="SJ77" s="620"/>
      <c r="SK77" s="620"/>
      <c r="SL77" s="620"/>
      <c r="SM77" s="620"/>
      <c r="SN77" s="620"/>
      <c r="SO77" s="620"/>
      <c r="SP77" s="620"/>
      <c r="SQ77" s="620"/>
      <c r="SR77" s="620"/>
      <c r="SS77" s="620"/>
      <c r="ST77" s="620"/>
      <c r="SU77" s="620"/>
      <c r="SV77" s="620"/>
      <c r="SW77" s="620"/>
      <c r="SX77" s="620"/>
      <c r="SY77" s="620"/>
      <c r="SZ77" s="620"/>
      <c r="TA77" s="620"/>
      <c r="TB77" s="620"/>
      <c r="TC77" s="620"/>
      <c r="TD77" s="620"/>
      <c r="TE77" s="620"/>
      <c r="TF77" s="620"/>
      <c r="TG77" s="620"/>
      <c r="TH77" s="620"/>
      <c r="TI77" s="620"/>
      <c r="TJ77" s="620"/>
      <c r="TK77" s="620"/>
      <c r="TL77" s="620"/>
      <c r="TM77" s="620"/>
      <c r="TN77" s="620"/>
      <c r="TO77" s="620"/>
      <c r="TP77" s="620"/>
      <c r="TQ77" s="620"/>
      <c r="TR77" s="620"/>
      <c r="TS77" s="620"/>
      <c r="TT77" s="620"/>
      <c r="TU77" s="620"/>
      <c r="TV77" s="620"/>
      <c r="TW77" s="620"/>
      <c r="TX77" s="620"/>
      <c r="TY77" s="620"/>
      <c r="TZ77" s="620"/>
      <c r="UA77" s="620"/>
      <c r="UB77" s="620"/>
      <c r="UC77" s="620"/>
      <c r="UD77" s="620"/>
      <c r="UE77" s="620"/>
      <c r="UF77" s="620"/>
      <c r="UG77" s="620"/>
      <c r="UH77" s="620"/>
      <c r="UI77" s="620"/>
      <c r="UJ77" s="620"/>
      <c r="UK77" s="620"/>
      <c r="UL77" s="620"/>
      <c r="UM77" s="620"/>
      <c r="UN77" s="620"/>
      <c r="UO77" s="620"/>
      <c r="UP77" s="620"/>
      <c r="UQ77" s="620"/>
      <c r="UR77" s="620"/>
      <c r="US77" s="620"/>
      <c r="UT77" s="620"/>
      <c r="UU77" s="620"/>
      <c r="UV77" s="620"/>
      <c r="UW77" s="620"/>
      <c r="UX77" s="620"/>
      <c r="UY77" s="620"/>
      <c r="UZ77" s="620"/>
      <c r="VA77" s="620"/>
      <c r="VB77" s="620"/>
      <c r="VC77" s="620"/>
      <c r="VD77" s="620"/>
      <c r="VE77" s="620"/>
      <c r="VF77" s="620"/>
      <c r="VG77" s="620"/>
      <c r="VH77" s="620"/>
      <c r="VI77" s="620"/>
      <c r="VJ77" s="620"/>
      <c r="VK77" s="620"/>
      <c r="VL77" s="620"/>
      <c r="VM77" s="620"/>
      <c r="VN77" s="620"/>
      <c r="VO77" s="620"/>
      <c r="VP77" s="620"/>
      <c r="VQ77" s="620"/>
      <c r="VR77" s="620"/>
      <c r="VS77" s="620"/>
      <c r="VT77" s="620"/>
      <c r="VU77" s="620"/>
      <c r="VV77" s="620"/>
      <c r="VW77" s="620"/>
      <c r="VX77" s="620"/>
      <c r="VY77" s="620"/>
      <c r="VZ77" s="620"/>
      <c r="WA77" s="620"/>
      <c r="WB77" s="620"/>
      <c r="WC77" s="620"/>
      <c r="WD77" s="620"/>
      <c r="WE77" s="620"/>
      <c r="WF77" s="620"/>
      <c r="WG77" s="620"/>
      <c r="WH77" s="620"/>
      <c r="WI77" s="620"/>
      <c r="WJ77" s="620"/>
      <c r="WK77" s="620"/>
      <c r="WL77" s="620"/>
      <c r="WM77" s="620"/>
      <c r="WN77" s="620"/>
      <c r="WO77" s="620"/>
      <c r="WP77" s="620"/>
      <c r="WQ77" s="620"/>
      <c r="WR77" s="620"/>
      <c r="WS77" s="620"/>
      <c r="WT77" s="620"/>
      <c r="WU77" s="620"/>
      <c r="WV77" s="620"/>
      <c r="WW77" s="620"/>
      <c r="WX77" s="620"/>
      <c r="WY77" s="620"/>
      <c r="WZ77" s="620"/>
      <c r="XA77" s="620"/>
      <c r="XB77" s="620"/>
      <c r="XC77" s="620"/>
      <c r="XD77" s="620"/>
      <c r="XE77" s="620"/>
      <c r="XF77" s="620"/>
      <c r="XG77" s="620"/>
      <c r="XH77" s="620"/>
      <c r="XI77" s="620"/>
      <c r="XJ77" s="620"/>
      <c r="XK77" s="620"/>
      <c r="XL77" s="620"/>
      <c r="XM77" s="620"/>
      <c r="XN77" s="620"/>
      <c r="XO77" s="620"/>
      <c r="XP77" s="620"/>
      <c r="XQ77" s="620"/>
      <c r="XR77" s="620"/>
      <c r="XS77" s="620"/>
      <c r="XT77" s="620"/>
      <c r="XU77" s="620"/>
      <c r="XV77" s="620"/>
      <c r="XW77" s="620"/>
      <c r="XX77" s="620"/>
      <c r="XY77" s="620"/>
      <c r="XZ77" s="620"/>
      <c r="YA77" s="620"/>
      <c r="YB77" s="620"/>
      <c r="YC77" s="620"/>
      <c r="YD77" s="620"/>
      <c r="YE77" s="620"/>
      <c r="YF77" s="620"/>
      <c r="YG77" s="620"/>
      <c r="YH77" s="620"/>
      <c r="YI77" s="620"/>
      <c r="YJ77" s="620"/>
      <c r="YK77" s="620"/>
      <c r="YL77" s="620"/>
      <c r="YM77" s="620"/>
      <c r="YN77" s="620"/>
      <c r="YO77" s="620"/>
      <c r="YP77" s="620"/>
      <c r="YQ77" s="620"/>
      <c r="YR77" s="620"/>
      <c r="YS77" s="620"/>
      <c r="YT77" s="620"/>
      <c r="YU77" s="620"/>
      <c r="YV77" s="620"/>
      <c r="YW77" s="620"/>
      <c r="YX77" s="620"/>
      <c r="YY77" s="620"/>
      <c r="YZ77" s="620"/>
      <c r="ZA77" s="620"/>
      <c r="ZB77" s="620"/>
      <c r="ZC77" s="620"/>
      <c r="ZD77" s="620"/>
      <c r="ZE77" s="620"/>
      <c r="ZF77" s="620"/>
      <c r="ZG77" s="620"/>
      <c r="ZH77" s="620"/>
      <c r="ZI77" s="620"/>
      <c r="ZJ77" s="620"/>
      <c r="ZK77" s="620"/>
      <c r="ZL77" s="620"/>
      <c r="ZM77" s="620"/>
      <c r="ZN77" s="620"/>
      <c r="ZO77" s="620"/>
      <c r="ZP77" s="620"/>
      <c r="ZQ77" s="620"/>
      <c r="ZR77" s="620"/>
      <c r="ZS77" s="620"/>
      <c r="ZT77" s="620"/>
      <c r="ZU77" s="620"/>
      <c r="ZV77" s="620"/>
      <c r="ZW77" s="620"/>
      <c r="ZX77" s="620"/>
      <c r="ZY77" s="620"/>
      <c r="ZZ77" s="620"/>
      <c r="AAA77" s="620"/>
      <c r="AAB77" s="620"/>
      <c r="AAC77" s="620"/>
      <c r="AAD77" s="620"/>
      <c r="AAE77" s="620"/>
      <c r="AAF77" s="620"/>
      <c r="AAG77" s="620"/>
      <c r="AAH77" s="620"/>
      <c r="AAI77" s="620"/>
      <c r="AAJ77" s="620"/>
      <c r="AAK77" s="620"/>
      <c r="AAL77" s="620"/>
      <c r="AAM77" s="620"/>
      <c r="AAN77" s="620"/>
      <c r="AAO77" s="620"/>
      <c r="AAP77" s="620"/>
      <c r="AAQ77" s="620"/>
      <c r="AAR77" s="620"/>
      <c r="AAS77" s="620"/>
      <c r="AAT77" s="620"/>
      <c r="AAU77" s="620"/>
      <c r="AAV77" s="620"/>
      <c r="AAW77" s="620"/>
      <c r="AAX77" s="620"/>
      <c r="AAY77" s="620"/>
      <c r="AAZ77" s="620"/>
      <c r="ABA77" s="620"/>
      <c r="ABB77" s="620"/>
      <c r="ABC77" s="620"/>
      <c r="ABD77" s="620"/>
      <c r="ABE77" s="620"/>
      <c r="ABF77" s="620"/>
      <c r="ABG77" s="620"/>
      <c r="ABH77" s="620"/>
      <c r="ABI77" s="620"/>
      <c r="ABJ77" s="620"/>
      <c r="ABK77" s="620"/>
      <c r="ABL77" s="620"/>
      <c r="ABM77" s="620"/>
      <c r="ABN77" s="620"/>
      <c r="ABO77" s="620"/>
      <c r="ABP77" s="620"/>
      <c r="ABQ77" s="620"/>
      <c r="ABR77" s="620"/>
      <c r="ABS77" s="620"/>
      <c r="ABT77" s="620"/>
      <c r="ABU77" s="620"/>
      <c r="ABV77" s="620"/>
      <c r="ABW77" s="620"/>
      <c r="ABX77" s="620"/>
      <c r="ABY77" s="620"/>
      <c r="ABZ77" s="620"/>
      <c r="ACA77" s="620"/>
      <c r="ACB77" s="620"/>
      <c r="ACC77" s="620"/>
      <c r="ACD77" s="620"/>
      <c r="ACE77" s="620"/>
      <c r="ACF77" s="620"/>
      <c r="ACG77" s="620"/>
      <c r="ACH77" s="620"/>
      <c r="ACI77" s="620"/>
      <c r="ACJ77" s="620"/>
      <c r="ACK77" s="620"/>
      <c r="ACL77" s="620"/>
      <c r="ACM77" s="620"/>
      <c r="ACN77" s="620"/>
      <c r="ACO77" s="620"/>
      <c r="ACP77" s="620"/>
      <c r="ACQ77" s="620"/>
      <c r="ACR77" s="620"/>
      <c r="ACS77" s="620"/>
      <c r="ACT77" s="620"/>
      <c r="ACU77" s="620"/>
      <c r="ACV77" s="620"/>
      <c r="ACW77" s="620"/>
      <c r="ACX77" s="620"/>
      <c r="ACY77" s="620"/>
      <c r="ACZ77" s="620"/>
      <c r="ADA77" s="620"/>
      <c r="ADB77" s="620"/>
      <c r="ADC77" s="620"/>
      <c r="ADD77" s="620"/>
      <c r="ADE77" s="620"/>
      <c r="ADF77" s="620"/>
      <c r="ADG77" s="620"/>
      <c r="ADH77" s="620"/>
      <c r="ADI77" s="620"/>
      <c r="ADJ77" s="620"/>
      <c r="ADK77" s="620"/>
      <c r="ADL77" s="620"/>
      <c r="ADM77" s="620"/>
      <c r="ADN77" s="620"/>
      <c r="ADO77" s="620"/>
      <c r="ADP77" s="620"/>
      <c r="ADQ77" s="620"/>
      <c r="ADR77" s="620"/>
      <c r="ADS77" s="620"/>
      <c r="ADT77" s="620"/>
      <c r="ADU77" s="620"/>
      <c r="ADV77" s="620"/>
      <c r="ADW77" s="620"/>
      <c r="ADX77" s="620"/>
      <c r="ADY77" s="620"/>
      <c r="ADZ77" s="620"/>
      <c r="AEA77" s="620"/>
      <c r="AEB77" s="620"/>
      <c r="AEC77" s="620"/>
      <c r="AED77" s="620"/>
      <c r="AEE77" s="620"/>
      <c r="AEF77" s="620"/>
      <c r="AEG77" s="620"/>
      <c r="AEH77" s="620"/>
      <c r="AEI77" s="620"/>
      <c r="AEJ77" s="620"/>
      <c r="AEK77" s="620"/>
      <c r="AEL77" s="620"/>
      <c r="AEM77" s="620"/>
      <c r="AEN77" s="620"/>
      <c r="AEO77" s="620"/>
      <c r="AEP77" s="620"/>
      <c r="AEQ77" s="620"/>
      <c r="AER77" s="620"/>
      <c r="AES77" s="620"/>
      <c r="AET77" s="620"/>
      <c r="AEU77" s="620"/>
      <c r="AEV77" s="620"/>
      <c r="AEW77" s="620"/>
      <c r="AEX77" s="620"/>
      <c r="AEY77" s="620"/>
      <c r="AEZ77" s="620"/>
      <c r="AFA77" s="620"/>
      <c r="AFB77" s="620"/>
      <c r="AFC77" s="620"/>
      <c r="AFD77" s="620"/>
      <c r="AFE77" s="620"/>
      <c r="AFF77" s="620"/>
      <c r="AFG77" s="620"/>
      <c r="AFH77" s="620"/>
      <c r="AFI77" s="620"/>
      <c r="AFJ77" s="620"/>
      <c r="AFK77" s="620"/>
      <c r="AFL77" s="620"/>
      <c r="AFM77" s="620"/>
      <c r="AFN77" s="620"/>
      <c r="AFO77" s="620"/>
      <c r="AFP77" s="620"/>
      <c r="AFQ77" s="620"/>
      <c r="AFR77" s="620"/>
      <c r="AFS77" s="620"/>
      <c r="AFT77" s="620"/>
      <c r="AFU77" s="620"/>
      <c r="AFV77" s="620"/>
      <c r="AFW77" s="620"/>
      <c r="AFX77" s="620"/>
      <c r="AFY77" s="620"/>
      <c r="AFZ77" s="620"/>
      <c r="AGA77" s="620"/>
      <c r="AGB77" s="620"/>
      <c r="AGC77" s="620"/>
      <c r="AGD77" s="620"/>
      <c r="AGE77" s="620"/>
      <c r="AGF77" s="620"/>
      <c r="AGG77" s="620"/>
      <c r="AGH77" s="620"/>
      <c r="AGI77" s="620"/>
      <c r="AGJ77" s="620"/>
      <c r="AGK77" s="620"/>
      <c r="AGL77" s="620"/>
      <c r="AGM77" s="620"/>
      <c r="AGN77" s="620"/>
      <c r="AGO77" s="620"/>
      <c r="AGP77" s="620"/>
      <c r="AGQ77" s="620"/>
      <c r="AGR77" s="620"/>
      <c r="AGS77" s="620"/>
      <c r="AGT77" s="620"/>
      <c r="AGU77" s="620"/>
      <c r="AGV77" s="620"/>
      <c r="AGW77" s="620"/>
      <c r="AGX77" s="620"/>
      <c r="AGY77" s="620"/>
      <c r="AGZ77" s="620"/>
      <c r="AHA77" s="620"/>
      <c r="AHB77" s="620"/>
      <c r="AHC77" s="620"/>
      <c r="AHD77" s="620"/>
      <c r="AHE77" s="620"/>
      <c r="AHF77" s="620"/>
      <c r="AHG77" s="620"/>
      <c r="AHH77" s="620"/>
      <c r="AHI77" s="620"/>
      <c r="AHJ77" s="620"/>
      <c r="AHK77" s="620"/>
      <c r="AHL77" s="620"/>
      <c r="AHM77" s="620"/>
      <c r="AHN77" s="620"/>
      <c r="AHO77" s="620"/>
      <c r="AHP77" s="620"/>
      <c r="AHQ77" s="620"/>
      <c r="AHR77" s="620"/>
      <c r="AHS77" s="620"/>
      <c r="AHT77" s="620"/>
      <c r="AHU77" s="620"/>
      <c r="AHV77" s="620"/>
      <c r="AHW77" s="620"/>
      <c r="AHX77" s="620"/>
      <c r="AHY77" s="620"/>
      <c r="AHZ77" s="620"/>
      <c r="AIA77" s="620"/>
      <c r="AIB77" s="620"/>
      <c r="AIC77" s="620"/>
      <c r="AID77" s="620"/>
      <c r="AIE77" s="620"/>
      <c r="AIF77" s="620"/>
      <c r="AIG77" s="620"/>
      <c r="AIH77" s="620"/>
      <c r="AII77" s="620"/>
      <c r="AIJ77" s="620"/>
      <c r="AIK77" s="620"/>
      <c r="AIL77" s="620"/>
      <c r="AIM77" s="620"/>
      <c r="AIN77" s="620"/>
      <c r="AIO77" s="620"/>
      <c r="AIP77" s="620"/>
      <c r="AIQ77" s="620"/>
      <c r="AIR77" s="620"/>
      <c r="AIS77" s="620"/>
      <c r="AIT77" s="620"/>
      <c r="AIU77" s="620"/>
      <c r="AIV77" s="620"/>
      <c r="AIW77" s="620"/>
      <c r="AIX77" s="620"/>
      <c r="AIY77" s="620"/>
      <c r="AIZ77" s="620"/>
      <c r="AJA77" s="620"/>
      <c r="AJB77" s="620"/>
      <c r="AJC77" s="620"/>
      <c r="AJD77" s="620"/>
      <c r="AJE77" s="620"/>
      <c r="AJF77" s="620"/>
      <c r="AJG77" s="620"/>
      <c r="AJH77" s="620"/>
      <c r="AJI77" s="620"/>
      <c r="AJJ77" s="620"/>
      <c r="AJK77" s="620"/>
      <c r="AJL77" s="620"/>
      <c r="AJM77" s="620"/>
      <c r="AJN77" s="620"/>
      <c r="AJO77" s="620"/>
      <c r="AJP77" s="620"/>
      <c r="AJQ77" s="620"/>
      <c r="AJR77" s="620"/>
      <c r="AJS77" s="620"/>
      <c r="AJT77" s="620"/>
      <c r="AJU77" s="620"/>
      <c r="AJV77" s="620"/>
      <c r="AJW77" s="620"/>
      <c r="AJX77" s="620"/>
      <c r="AJY77" s="620"/>
      <c r="AJZ77" s="620"/>
      <c r="AKA77" s="620"/>
      <c r="AKB77" s="620"/>
      <c r="AKC77" s="620"/>
      <c r="AKD77" s="620"/>
      <c r="AKE77" s="620"/>
      <c r="AKF77" s="620"/>
      <c r="AKG77" s="620"/>
      <c r="AKH77" s="620"/>
      <c r="AKI77" s="620"/>
      <c r="AKJ77" s="620"/>
      <c r="AKK77" s="620"/>
      <c r="AKL77" s="620"/>
      <c r="AKM77" s="620"/>
      <c r="AKN77" s="620"/>
      <c r="AKO77" s="620"/>
      <c r="AKP77" s="620"/>
      <c r="AKQ77" s="620"/>
      <c r="AKR77" s="620"/>
      <c r="AKS77" s="620"/>
      <c r="AKT77" s="620"/>
      <c r="AKU77" s="620"/>
      <c r="AKV77" s="620"/>
      <c r="AKW77" s="620"/>
      <c r="AKX77" s="620"/>
      <c r="AKY77" s="620"/>
      <c r="AKZ77" s="620"/>
      <c r="ALA77" s="620"/>
      <c r="ALB77" s="620"/>
      <c r="ALC77" s="620"/>
      <c r="ALD77" s="620"/>
      <c r="ALE77" s="620"/>
      <c r="ALF77" s="620"/>
      <c r="ALG77" s="620"/>
      <c r="ALH77" s="620"/>
      <c r="ALI77" s="620"/>
      <c r="ALJ77" s="620"/>
      <c r="ALK77" s="620"/>
      <c r="ALL77" s="620"/>
      <c r="ALM77" s="620"/>
      <c r="ALN77" s="620"/>
      <c r="ALO77" s="620"/>
      <c r="ALP77" s="620"/>
      <c r="ALQ77" s="620"/>
      <c r="ALR77" s="620"/>
      <c r="ALS77" s="620"/>
      <c r="ALT77" s="620"/>
      <c r="ALU77" s="620"/>
      <c r="ALV77" s="620"/>
      <c r="ALW77" s="620"/>
      <c r="ALX77" s="620"/>
      <c r="ALY77" s="620"/>
      <c r="ALZ77" s="620"/>
    </row>
    <row r="78" spans="1:1014" s="224" customFormat="1" ht="13.5" customHeight="1">
      <c r="A78" s="225">
        <v>70</v>
      </c>
      <c r="B78" s="217"/>
      <c r="C78" s="241" t="s">
        <v>1226</v>
      </c>
      <c r="D78" s="217"/>
      <c r="E78" s="217"/>
      <c r="F78" s="217"/>
      <c r="G78" s="217"/>
      <c r="H78" s="575" t="s">
        <v>1227</v>
      </c>
      <c r="I78" s="611" t="s">
        <v>1228</v>
      </c>
      <c r="J78" s="575" t="s">
        <v>1229</v>
      </c>
      <c r="K78" s="611" t="s">
        <v>1230</v>
      </c>
      <c r="L78" s="575" t="s">
        <v>1231</v>
      </c>
      <c r="M78" s="621" t="s">
        <v>1232</v>
      </c>
      <c r="N78" s="621"/>
      <c r="O78" s="575"/>
      <c r="P78" s="612"/>
      <c r="Q78" s="575" t="s">
        <v>820</v>
      </c>
      <c r="R78" s="575"/>
      <c r="S78" s="575" t="s">
        <v>879</v>
      </c>
      <c r="T78" s="613"/>
      <c r="U78" s="575" t="s">
        <v>932</v>
      </c>
      <c r="V78" s="614" t="s">
        <v>864</v>
      </c>
      <c r="W78" s="614" t="s">
        <v>864</v>
      </c>
      <c r="X78" s="232"/>
      <c r="Y78" s="615"/>
      <c r="Z78" s="575" t="s">
        <v>1150</v>
      </c>
      <c r="AA78" s="616"/>
      <c r="AB78" s="575"/>
      <c r="AC78" s="613">
        <v>1</v>
      </c>
      <c r="AD78" s="613">
        <v>1</v>
      </c>
      <c r="AE78" s="614"/>
    </row>
    <row r="79" spans="1:1014" s="244" customFormat="1" ht="13.5" customHeight="1">
      <c r="A79" s="225">
        <v>71</v>
      </c>
      <c r="B79" s="217"/>
      <c r="C79" s="241" t="s">
        <v>1233</v>
      </c>
      <c r="D79" s="217"/>
      <c r="E79" s="221"/>
      <c r="F79" s="222"/>
      <c r="G79" s="222"/>
      <c r="H79" s="575" t="s">
        <v>1234</v>
      </c>
      <c r="I79" s="611" t="s">
        <v>1235</v>
      </c>
      <c r="J79" s="575"/>
      <c r="K79" s="611" t="s">
        <v>1236</v>
      </c>
      <c r="L79" s="575"/>
      <c r="M79" s="575"/>
      <c r="N79" s="575"/>
      <c r="O79" s="575"/>
      <c r="P79" s="612">
        <v>1</v>
      </c>
      <c r="Q79" s="575" t="s">
        <v>820</v>
      </c>
      <c r="R79" s="575"/>
      <c r="S79" s="575" t="s">
        <v>863</v>
      </c>
      <c r="T79" s="613" t="s">
        <v>864</v>
      </c>
      <c r="U79" s="575" t="s">
        <v>1237</v>
      </c>
      <c r="V79" s="614" t="s">
        <v>864</v>
      </c>
      <c r="W79" s="614" t="s">
        <v>864</v>
      </c>
      <c r="X79" s="232"/>
      <c r="Y79" s="615"/>
      <c r="Z79" s="575" t="s">
        <v>975</v>
      </c>
      <c r="AA79" s="616"/>
      <c r="AB79" s="575"/>
      <c r="AC79" s="613">
        <v>1</v>
      </c>
      <c r="AD79" s="613">
        <v>1</v>
      </c>
      <c r="AE79" s="614"/>
    </row>
    <row r="80" spans="1:1014" s="224" customFormat="1" ht="13.5" customHeight="1">
      <c r="A80" s="225">
        <v>72</v>
      </c>
      <c r="B80" s="217"/>
      <c r="C80" s="217" t="s">
        <v>1238</v>
      </c>
      <c r="D80" s="217"/>
      <c r="E80" s="217"/>
      <c r="F80" s="217"/>
      <c r="G80" s="217"/>
      <c r="H80" s="575" t="s">
        <v>1239</v>
      </c>
      <c r="I80" s="611" t="s">
        <v>1240</v>
      </c>
      <c r="J80" s="575" t="s">
        <v>1214</v>
      </c>
      <c r="K80" s="611" t="s">
        <v>939</v>
      </c>
      <c r="L80" s="575" t="s">
        <v>1241</v>
      </c>
      <c r="M80" s="575" t="s">
        <v>1242</v>
      </c>
      <c r="N80" s="575"/>
      <c r="O80" s="575"/>
      <c r="P80" s="612">
        <v>1</v>
      </c>
      <c r="Q80" s="575" t="s">
        <v>817</v>
      </c>
      <c r="R80" s="575"/>
      <c r="S80" s="575" t="s">
        <v>863</v>
      </c>
      <c r="T80" s="613"/>
      <c r="U80" s="575"/>
      <c r="V80" s="614" t="s">
        <v>864</v>
      </c>
      <c r="W80" s="614" t="s">
        <v>864</v>
      </c>
      <c r="X80" s="232"/>
      <c r="Y80" s="615"/>
      <c r="Z80" s="575"/>
      <c r="AA80" s="616"/>
      <c r="AB80" s="575"/>
      <c r="AC80" s="613">
        <v>1</v>
      </c>
      <c r="AD80" s="613">
        <v>1</v>
      </c>
      <c r="AE80" s="614"/>
    </row>
    <row r="81" spans="1:32" s="224" customFormat="1" ht="13.5" customHeight="1">
      <c r="A81" s="225">
        <v>73</v>
      </c>
      <c r="B81" s="217"/>
      <c r="C81" s="241" t="s">
        <v>1611</v>
      </c>
      <c r="D81" s="217"/>
      <c r="E81" s="217"/>
      <c r="F81" s="217"/>
      <c r="G81" s="217"/>
      <c r="H81" s="575" t="s">
        <v>1244</v>
      </c>
      <c r="I81" s="611"/>
      <c r="J81" s="575" t="s">
        <v>1245</v>
      </c>
      <c r="K81" s="611"/>
      <c r="L81" s="575"/>
      <c r="M81" s="575"/>
      <c r="N81" s="575"/>
      <c r="O81" s="575"/>
      <c r="P81" s="612"/>
      <c r="Q81" s="575" t="s">
        <v>820</v>
      </c>
      <c r="R81" s="575" t="s">
        <v>864</v>
      </c>
      <c r="S81" s="243" t="s">
        <v>1245</v>
      </c>
      <c r="T81" s="613"/>
      <c r="U81" s="575"/>
      <c r="V81" s="614" t="s">
        <v>864</v>
      </c>
      <c r="W81" s="614" t="s">
        <v>864</v>
      </c>
      <c r="X81" s="232"/>
      <c r="Y81" s="615"/>
      <c r="Z81" s="575"/>
      <c r="AA81" s="616"/>
      <c r="AB81" s="575"/>
      <c r="AC81" s="613"/>
      <c r="AD81" s="613">
        <v>1</v>
      </c>
      <c r="AE81" s="614" t="s">
        <v>864</v>
      </c>
    </row>
    <row r="82" spans="1:32" s="224" customFormat="1" ht="13.5" customHeight="1">
      <c r="A82" s="225">
        <v>74</v>
      </c>
      <c r="B82" s="217"/>
      <c r="C82" s="610"/>
      <c r="D82" s="610" t="s">
        <v>1246</v>
      </c>
      <c r="E82" s="219"/>
      <c r="F82" s="610"/>
      <c r="G82" s="610"/>
      <c r="H82" s="575" t="s">
        <v>1247</v>
      </c>
      <c r="I82" s="611"/>
      <c r="J82" s="575" t="s">
        <v>1248</v>
      </c>
      <c r="K82" s="611" t="s">
        <v>1249</v>
      </c>
      <c r="L82" s="575" t="s">
        <v>1250</v>
      </c>
      <c r="M82" s="575" t="s">
        <v>262</v>
      </c>
      <c r="N82" s="575"/>
      <c r="O82" s="575"/>
      <c r="P82" s="612">
        <v>1</v>
      </c>
      <c r="Q82" s="575" t="s">
        <v>817</v>
      </c>
      <c r="R82" s="575" t="s">
        <v>864</v>
      </c>
      <c r="S82" s="243" t="s">
        <v>1251</v>
      </c>
      <c r="T82" s="613"/>
      <c r="U82" s="575"/>
      <c r="V82" s="614" t="s">
        <v>864</v>
      </c>
      <c r="W82" s="614" t="s">
        <v>864</v>
      </c>
      <c r="X82" s="232"/>
      <c r="Y82" s="615"/>
      <c r="Z82" s="575"/>
      <c r="AA82" s="245" t="s">
        <v>1252</v>
      </c>
      <c r="AB82" s="575"/>
      <c r="AC82" s="613"/>
      <c r="AD82" s="613">
        <v>1</v>
      </c>
      <c r="AE82" s="614" t="s">
        <v>864</v>
      </c>
    </row>
    <row r="83" spans="1:32" s="224" customFormat="1" ht="13.5" customHeight="1">
      <c r="A83" s="225">
        <v>75</v>
      </c>
      <c r="B83" s="217"/>
      <c r="C83" s="610"/>
      <c r="D83" s="241"/>
      <c r="E83" s="241" t="s">
        <v>1253</v>
      </c>
      <c r="F83" s="241"/>
      <c r="G83" s="241"/>
      <c r="H83" s="575" t="s">
        <v>1254</v>
      </c>
      <c r="I83" s="611" t="s">
        <v>1255</v>
      </c>
      <c r="J83" s="575"/>
      <c r="K83" s="611" t="s">
        <v>958</v>
      </c>
      <c r="L83" s="575"/>
      <c r="M83" s="575"/>
      <c r="N83" s="575"/>
      <c r="O83" s="575"/>
      <c r="P83" s="612"/>
      <c r="Q83" s="575" t="s">
        <v>820</v>
      </c>
      <c r="R83" s="575"/>
      <c r="S83" s="575" t="s">
        <v>863</v>
      </c>
      <c r="T83" s="613" t="s">
        <v>864</v>
      </c>
      <c r="U83" s="575" t="s">
        <v>1256</v>
      </c>
      <c r="V83" s="614" t="s">
        <v>864</v>
      </c>
      <c r="W83" s="614" t="s">
        <v>864</v>
      </c>
      <c r="X83" s="232"/>
      <c r="Y83" s="615"/>
      <c r="Z83" s="391" t="s">
        <v>1257</v>
      </c>
      <c r="AA83" s="616"/>
      <c r="AB83" s="575"/>
      <c r="AC83" s="613"/>
      <c r="AD83" s="613">
        <v>1</v>
      </c>
      <c r="AE83" s="614" t="s">
        <v>864</v>
      </c>
    </row>
    <row r="84" spans="1:32" ht="12" customHeight="1">
      <c r="A84" s="225">
        <v>76</v>
      </c>
      <c r="C84" s="224"/>
      <c r="D84" s="224"/>
      <c r="E84" s="224" t="s">
        <v>1258</v>
      </c>
      <c r="F84" s="224"/>
      <c r="G84" s="225"/>
      <c r="H84" s="225" t="s">
        <v>1259</v>
      </c>
      <c r="I84" s="273" t="s">
        <v>1260</v>
      </c>
      <c r="J84" s="225"/>
      <c r="K84" s="611" t="s">
        <v>1107</v>
      </c>
      <c r="L84" s="575"/>
      <c r="M84" s="575"/>
      <c r="N84" s="575"/>
      <c r="O84" s="575"/>
      <c r="P84" s="612"/>
      <c r="Q84" s="575" t="s">
        <v>820</v>
      </c>
      <c r="R84" s="575"/>
      <c r="S84" s="575" t="s">
        <v>863</v>
      </c>
      <c r="U84" s="575"/>
      <c r="V84" s="274" t="s">
        <v>864</v>
      </c>
      <c r="W84" s="274" t="s">
        <v>864</v>
      </c>
      <c r="X84" s="232"/>
      <c r="AD84" s="274">
        <v>1</v>
      </c>
      <c r="AE84" s="614" t="s">
        <v>864</v>
      </c>
    </row>
    <row r="85" spans="1:32" s="224" customFormat="1" ht="13.5" customHeight="1">
      <c r="A85" s="225">
        <v>77</v>
      </c>
      <c r="B85" s="217"/>
      <c r="C85" s="610"/>
      <c r="D85" s="610" t="s">
        <v>1261</v>
      </c>
      <c r="E85" s="219" t="s">
        <v>1262</v>
      </c>
      <c r="F85" s="610"/>
      <c r="G85" s="610"/>
      <c r="H85" s="575" t="s">
        <v>1263</v>
      </c>
      <c r="I85" s="611"/>
      <c r="J85" s="575"/>
      <c r="K85" s="611" t="s">
        <v>1264</v>
      </c>
      <c r="L85" s="575" t="s">
        <v>1265</v>
      </c>
      <c r="M85" s="575" t="s">
        <v>1266</v>
      </c>
      <c r="N85" s="575"/>
      <c r="O85" s="575"/>
      <c r="P85" s="612">
        <v>1</v>
      </c>
      <c r="Q85" s="575" t="s">
        <v>817</v>
      </c>
      <c r="R85" s="575" t="s">
        <v>864</v>
      </c>
      <c r="S85" s="243" t="s">
        <v>1251</v>
      </c>
      <c r="T85" s="613"/>
      <c r="U85" s="575"/>
      <c r="V85" s="614" t="s">
        <v>864</v>
      </c>
      <c r="W85" s="614" t="s">
        <v>864</v>
      </c>
      <c r="X85" s="232"/>
      <c r="Y85" s="615"/>
      <c r="Z85" s="575"/>
      <c r="AA85" s="245" t="s">
        <v>1252</v>
      </c>
      <c r="AB85" s="575"/>
      <c r="AC85" s="613"/>
      <c r="AD85" s="613">
        <v>1</v>
      </c>
      <c r="AE85" s="614" t="s">
        <v>864</v>
      </c>
    </row>
    <row r="86" spans="1:32" s="224" customFormat="1" ht="13.5" customHeight="1">
      <c r="A86" s="225">
        <v>78</v>
      </c>
      <c r="B86" s="217"/>
      <c r="C86" s="610"/>
      <c r="D86" s="610" t="s">
        <v>1267</v>
      </c>
      <c r="E86" s="610"/>
      <c r="F86" s="610"/>
      <c r="G86" s="610"/>
      <c r="H86" s="575" t="s">
        <v>1268</v>
      </c>
      <c r="I86" s="611" t="s">
        <v>1269</v>
      </c>
      <c r="J86" s="575" t="s">
        <v>1270</v>
      </c>
      <c r="K86" s="611" t="s">
        <v>1271</v>
      </c>
      <c r="L86" s="575"/>
      <c r="M86" s="575"/>
      <c r="N86" s="575"/>
      <c r="O86" s="575"/>
      <c r="P86" s="612"/>
      <c r="Q86" s="575" t="s">
        <v>817</v>
      </c>
      <c r="R86" s="575"/>
      <c r="S86" s="575" t="s">
        <v>863</v>
      </c>
      <c r="T86" s="613" t="s">
        <v>864</v>
      </c>
      <c r="U86" s="575" t="s">
        <v>1209</v>
      </c>
      <c r="V86" s="614" t="s">
        <v>864</v>
      </c>
      <c r="W86" s="614" t="s">
        <v>864</v>
      </c>
      <c r="X86" s="232"/>
      <c r="Y86" s="615"/>
      <c r="Z86" s="575"/>
      <c r="AA86" s="245" t="s">
        <v>1272</v>
      </c>
      <c r="AB86" s="575"/>
      <c r="AC86" s="613"/>
      <c r="AD86" s="613">
        <v>1</v>
      </c>
      <c r="AE86" s="614" t="s">
        <v>864</v>
      </c>
      <c r="AF86" s="246"/>
    </row>
    <row r="87" spans="1:32" s="224" customFormat="1" ht="13.5" customHeight="1">
      <c r="A87" s="225">
        <v>79</v>
      </c>
      <c r="B87" s="217"/>
      <c r="C87" s="610"/>
      <c r="D87" s="241" t="s">
        <v>1273</v>
      </c>
      <c r="E87" s="241"/>
      <c r="F87" s="241"/>
      <c r="G87" s="241"/>
      <c r="H87" s="575" t="s">
        <v>1274</v>
      </c>
      <c r="I87" s="611" t="s">
        <v>1275</v>
      </c>
      <c r="J87" s="575"/>
      <c r="K87" s="611" t="s">
        <v>958</v>
      </c>
      <c r="L87" s="575"/>
      <c r="M87" s="575"/>
      <c r="N87" s="575"/>
      <c r="O87" s="575"/>
      <c r="P87" s="612"/>
      <c r="Q87" s="575" t="s">
        <v>817</v>
      </c>
      <c r="R87" s="575"/>
      <c r="S87" s="575" t="s">
        <v>863</v>
      </c>
      <c r="T87" s="374"/>
      <c r="U87" s="255"/>
      <c r="V87" s="375" t="s">
        <v>864</v>
      </c>
      <c r="W87" s="614" t="s">
        <v>864</v>
      </c>
      <c r="X87" s="232"/>
      <c r="Y87" s="380" t="s">
        <v>1276</v>
      </c>
      <c r="Z87" s="575" t="s">
        <v>1277</v>
      </c>
      <c r="AA87" s="245" t="s">
        <v>1278</v>
      </c>
      <c r="AB87" s="575"/>
      <c r="AC87" s="613"/>
      <c r="AD87" s="613">
        <v>1</v>
      </c>
      <c r="AE87" s="614" t="s">
        <v>864</v>
      </c>
      <c r="AF87" s="246"/>
    </row>
    <row r="88" spans="1:32" s="224" customFormat="1" ht="13.5" customHeight="1">
      <c r="A88" s="225">
        <v>80</v>
      </c>
      <c r="B88" s="217"/>
      <c r="C88" s="610"/>
      <c r="D88" s="241" t="s">
        <v>1279</v>
      </c>
      <c r="E88" s="241"/>
      <c r="F88" s="241"/>
      <c r="G88" s="241"/>
      <c r="H88" s="575" t="s">
        <v>1280</v>
      </c>
      <c r="I88" s="611" t="s">
        <v>1281</v>
      </c>
      <c r="J88" s="575"/>
      <c r="K88" s="611" t="s">
        <v>910</v>
      </c>
      <c r="L88" s="575"/>
      <c r="M88" s="575"/>
      <c r="N88" s="575"/>
      <c r="O88" s="575"/>
      <c r="P88" s="612"/>
      <c r="Q88" s="575" t="s">
        <v>817</v>
      </c>
      <c r="R88" s="575"/>
      <c r="S88" s="575" t="s">
        <v>863</v>
      </c>
      <c r="T88" s="374"/>
      <c r="U88" s="255"/>
      <c r="V88" s="375" t="s">
        <v>864</v>
      </c>
      <c r="W88" s="614" t="s">
        <v>864</v>
      </c>
      <c r="X88" s="232"/>
      <c r="Y88" s="387" t="s">
        <v>1282</v>
      </c>
      <c r="Z88" s="575" t="s">
        <v>1277</v>
      </c>
      <c r="AA88" s="616"/>
      <c r="AB88" s="575"/>
      <c r="AC88" s="613"/>
      <c r="AD88" s="613">
        <v>1</v>
      </c>
      <c r="AE88" s="614" t="s">
        <v>864</v>
      </c>
      <c r="AF88" s="246"/>
    </row>
    <row r="89" spans="1:32" s="224" customFormat="1" ht="13.5" customHeight="1">
      <c r="A89" s="225">
        <v>81</v>
      </c>
      <c r="B89" s="217"/>
      <c r="C89" s="610"/>
      <c r="D89" s="610" t="s">
        <v>1283</v>
      </c>
      <c r="E89" s="610"/>
      <c r="F89" s="610"/>
      <c r="G89" s="610"/>
      <c r="H89" s="575" t="s">
        <v>1284</v>
      </c>
      <c r="I89" s="611" t="s">
        <v>1285</v>
      </c>
      <c r="J89" s="575" t="s">
        <v>939</v>
      </c>
      <c r="K89" s="611" t="s">
        <v>939</v>
      </c>
      <c r="L89" s="575" t="s">
        <v>1286</v>
      </c>
      <c r="M89" s="575" t="s">
        <v>1287</v>
      </c>
      <c r="N89" s="575"/>
      <c r="O89" s="575"/>
      <c r="P89" s="612">
        <v>1</v>
      </c>
      <c r="Q89" s="575" t="s">
        <v>817</v>
      </c>
      <c r="R89" s="575"/>
      <c r="S89" s="575" t="s">
        <v>863</v>
      </c>
      <c r="T89" s="613"/>
      <c r="U89" s="255"/>
      <c r="V89" s="614" t="s">
        <v>864</v>
      </c>
      <c r="W89" s="614" t="s">
        <v>864</v>
      </c>
      <c r="X89" s="232"/>
      <c r="Y89" s="615"/>
      <c r="Z89" s="575"/>
      <c r="AA89" s="616"/>
      <c r="AB89" s="575"/>
      <c r="AC89" s="613"/>
      <c r="AD89" s="613">
        <v>1</v>
      </c>
      <c r="AE89" s="614" t="s">
        <v>864</v>
      </c>
    </row>
    <row r="90" spans="1:32" s="224" customFormat="1" ht="13.5" customHeight="1">
      <c r="A90" s="225">
        <v>82</v>
      </c>
      <c r="B90" s="217"/>
      <c r="C90" s="610"/>
      <c r="D90" s="241" t="s">
        <v>1288</v>
      </c>
      <c r="E90" s="610"/>
      <c r="F90" s="241"/>
      <c r="G90" s="241"/>
      <c r="H90" s="575"/>
      <c r="I90" s="611"/>
      <c r="J90" s="575" t="s">
        <v>1289</v>
      </c>
      <c r="K90" s="611" t="s">
        <v>1290</v>
      </c>
      <c r="L90" s="575"/>
      <c r="M90" s="575"/>
      <c r="N90" s="575"/>
      <c r="O90" s="575"/>
      <c r="P90" s="612"/>
      <c r="Q90" s="575" t="s">
        <v>817</v>
      </c>
      <c r="R90" s="575" t="s">
        <v>864</v>
      </c>
      <c r="S90" s="575" t="s">
        <v>1290</v>
      </c>
      <c r="T90" s="613"/>
      <c r="U90" s="575"/>
      <c r="V90" s="614" t="s">
        <v>864</v>
      </c>
      <c r="W90" s="614" t="s">
        <v>864</v>
      </c>
      <c r="X90" s="232"/>
      <c r="Y90" s="615"/>
      <c r="Z90" s="575"/>
      <c r="AA90" s="616"/>
      <c r="AB90" s="575"/>
      <c r="AC90" s="613">
        <v>1</v>
      </c>
      <c r="AD90" s="613">
        <v>1</v>
      </c>
      <c r="AE90" s="614" t="s">
        <v>864</v>
      </c>
    </row>
    <row r="91" spans="1:32" s="224" customFormat="1" ht="13.5" customHeight="1">
      <c r="A91" s="225">
        <v>83</v>
      </c>
      <c r="B91" s="217"/>
      <c r="C91" s="610"/>
      <c r="D91" s="610"/>
      <c r="E91" s="610" t="s">
        <v>1291</v>
      </c>
      <c r="F91" s="610"/>
      <c r="G91" s="610"/>
      <c r="H91" s="575" t="s">
        <v>1292</v>
      </c>
      <c r="I91" s="611" t="s">
        <v>1293</v>
      </c>
      <c r="J91" s="575"/>
      <c r="K91" s="611" t="s">
        <v>1074</v>
      </c>
      <c r="L91" s="575" t="s">
        <v>1294</v>
      </c>
      <c r="M91" s="575" t="s">
        <v>1295</v>
      </c>
      <c r="N91" s="575"/>
      <c r="O91" s="575"/>
      <c r="P91" s="612"/>
      <c r="Q91" s="575" t="s">
        <v>820</v>
      </c>
      <c r="R91" s="575"/>
      <c r="S91" s="575" t="s">
        <v>863</v>
      </c>
      <c r="T91" s="613"/>
      <c r="U91" s="575" t="s">
        <v>1296</v>
      </c>
      <c r="V91" s="614" t="s">
        <v>864</v>
      </c>
      <c r="W91" s="614" t="s">
        <v>864</v>
      </c>
      <c r="X91" s="232"/>
      <c r="Y91" s="615"/>
      <c r="Z91" s="575"/>
      <c r="AA91" s="616"/>
      <c r="AB91" s="575"/>
      <c r="AC91" s="613">
        <v>1</v>
      </c>
      <c r="AD91" s="613">
        <v>1</v>
      </c>
      <c r="AE91" s="614" t="s">
        <v>864</v>
      </c>
    </row>
    <row r="92" spans="1:32" s="224" customFormat="1" ht="13.5" customHeight="1">
      <c r="A92" s="225">
        <v>84</v>
      </c>
      <c r="B92" s="217"/>
      <c r="C92" s="610"/>
      <c r="D92" s="241"/>
      <c r="E92" s="610" t="s">
        <v>1091</v>
      </c>
      <c r="F92" s="221"/>
      <c r="G92" s="221"/>
      <c r="H92" s="575" t="s">
        <v>1297</v>
      </c>
      <c r="I92" s="575" t="s">
        <v>1121</v>
      </c>
      <c r="J92" s="575"/>
      <c r="K92" s="611" t="s">
        <v>1298</v>
      </c>
      <c r="L92" s="575"/>
      <c r="M92" s="575"/>
      <c r="N92" s="575"/>
      <c r="O92" s="575"/>
      <c r="P92" s="612"/>
      <c r="Q92" s="575" t="s">
        <v>817</v>
      </c>
      <c r="R92" s="575"/>
      <c r="S92" s="575" t="s">
        <v>863</v>
      </c>
      <c r="T92" s="613"/>
      <c r="U92" s="575"/>
      <c r="V92" s="614" t="s">
        <v>864</v>
      </c>
      <c r="W92" s="614" t="s">
        <v>864</v>
      </c>
      <c r="X92" s="232"/>
      <c r="Y92" s="615"/>
      <c r="Z92" s="575"/>
      <c r="AA92" s="616"/>
      <c r="AB92" s="575"/>
      <c r="AC92" s="613">
        <v>1</v>
      </c>
      <c r="AD92" s="613">
        <v>1</v>
      </c>
      <c r="AE92" s="614" t="s">
        <v>864</v>
      </c>
    </row>
    <row r="93" spans="1:32" s="244" customFormat="1" ht="14.25" customHeight="1">
      <c r="A93" s="225">
        <v>85</v>
      </c>
      <c r="B93" s="217"/>
      <c r="C93" s="221"/>
      <c r="D93" s="221"/>
      <c r="E93" s="610" t="s">
        <v>1299</v>
      </c>
      <c r="F93" s="221"/>
      <c r="G93" s="221"/>
      <c r="H93" s="575" t="s">
        <v>1300</v>
      </c>
      <c r="I93" s="611" t="s">
        <v>1301</v>
      </c>
      <c r="J93" s="575"/>
      <c r="K93" s="611" t="s">
        <v>1302</v>
      </c>
      <c r="L93" s="575"/>
      <c r="M93" s="575"/>
      <c r="N93" s="575"/>
      <c r="O93" s="575"/>
      <c r="P93" s="612"/>
      <c r="Q93" s="575" t="s">
        <v>817</v>
      </c>
      <c r="R93" s="575"/>
      <c r="S93" s="575" t="s">
        <v>863</v>
      </c>
      <c r="T93" s="613"/>
      <c r="U93" s="575"/>
      <c r="V93" s="614" t="s">
        <v>864</v>
      </c>
      <c r="W93" s="614" t="s">
        <v>864</v>
      </c>
      <c r="X93" s="232"/>
      <c r="Y93" s="615"/>
      <c r="Z93" s="575"/>
      <c r="AA93" s="616"/>
      <c r="AB93" s="575"/>
      <c r="AC93" s="613">
        <v>1</v>
      </c>
      <c r="AD93" s="613">
        <v>1</v>
      </c>
      <c r="AE93" s="614" t="s">
        <v>864</v>
      </c>
    </row>
    <row r="94" spans="1:32" s="224" customFormat="1" ht="13.5" customHeight="1">
      <c r="A94" s="225">
        <v>86</v>
      </c>
      <c r="B94" s="217"/>
      <c r="C94" s="241" t="s">
        <v>1303</v>
      </c>
      <c r="D94" s="217"/>
      <c r="E94" s="217"/>
      <c r="F94" s="217"/>
      <c r="G94" s="217"/>
      <c r="H94" s="575" t="s">
        <v>1304</v>
      </c>
      <c r="I94" s="611"/>
      <c r="J94" s="575" t="s">
        <v>908</v>
      </c>
      <c r="K94" s="611" t="s">
        <v>1305</v>
      </c>
      <c r="L94" s="575"/>
      <c r="M94" s="575"/>
      <c r="N94" s="575"/>
      <c r="O94" s="575"/>
      <c r="P94" s="612"/>
      <c r="Q94" s="575" t="s">
        <v>820</v>
      </c>
      <c r="R94" s="575" t="s">
        <v>864</v>
      </c>
      <c r="S94" s="243" t="s">
        <v>1306</v>
      </c>
      <c r="T94" s="613"/>
      <c r="U94" s="575"/>
      <c r="V94" s="614" t="s">
        <v>864</v>
      </c>
      <c r="W94" s="614" t="s">
        <v>864</v>
      </c>
      <c r="X94" s="232"/>
      <c r="Y94" s="615"/>
      <c r="Z94" s="575"/>
      <c r="AA94" s="616"/>
      <c r="AB94" s="575"/>
      <c r="AC94" s="613">
        <v>1</v>
      </c>
      <c r="AD94" s="613"/>
      <c r="AE94" s="614"/>
    </row>
    <row r="95" spans="1:32" s="224" customFormat="1" ht="13.5" customHeight="1">
      <c r="A95" s="225">
        <v>87</v>
      </c>
      <c r="B95" s="217"/>
      <c r="C95" s="241"/>
      <c r="D95" s="241" t="s">
        <v>1307</v>
      </c>
      <c r="E95" s="241"/>
      <c r="F95" s="241"/>
      <c r="G95" s="241"/>
      <c r="H95" s="575" t="s">
        <v>1308</v>
      </c>
      <c r="I95" s="611" t="s">
        <v>1309</v>
      </c>
      <c r="J95" s="575"/>
      <c r="K95" s="611" t="s">
        <v>1310</v>
      </c>
      <c r="L95" s="575"/>
      <c r="M95" s="575"/>
      <c r="N95" s="575"/>
      <c r="O95" s="575"/>
      <c r="P95" s="612"/>
      <c r="Q95" s="575" t="s">
        <v>820</v>
      </c>
      <c r="R95" s="575"/>
      <c r="S95" s="575" t="s">
        <v>863</v>
      </c>
      <c r="T95" s="613"/>
      <c r="U95" s="575"/>
      <c r="V95" s="614" t="s">
        <v>864</v>
      </c>
      <c r="W95" s="614" t="s">
        <v>864</v>
      </c>
      <c r="X95" s="232"/>
      <c r="Y95" s="615"/>
      <c r="Z95" s="575" t="s">
        <v>1063</v>
      </c>
      <c r="AA95" s="616"/>
      <c r="AB95" s="575"/>
      <c r="AC95" s="613">
        <v>1</v>
      </c>
      <c r="AD95" s="613"/>
      <c r="AE95" s="614"/>
    </row>
    <row r="96" spans="1:32" s="224" customFormat="1" ht="13.5" customHeight="1">
      <c r="A96" s="225">
        <v>88</v>
      </c>
      <c r="B96" s="217"/>
      <c r="C96" s="610"/>
      <c r="D96" s="241" t="s">
        <v>1311</v>
      </c>
      <c r="E96" s="241"/>
      <c r="F96" s="241"/>
      <c r="G96" s="241"/>
      <c r="H96" s="575" t="s">
        <v>1312</v>
      </c>
      <c r="I96" s="611" t="s">
        <v>1255</v>
      </c>
      <c r="J96" s="575"/>
      <c r="K96" s="611" t="s">
        <v>958</v>
      </c>
      <c r="L96" s="575"/>
      <c r="M96" s="575"/>
      <c r="N96" s="575"/>
      <c r="O96" s="575"/>
      <c r="P96" s="612"/>
      <c r="Q96" s="575" t="s">
        <v>820</v>
      </c>
      <c r="R96" s="575"/>
      <c r="S96" s="575" t="s">
        <v>863</v>
      </c>
      <c r="T96" s="613" t="s">
        <v>864</v>
      </c>
      <c r="U96" s="575" t="s">
        <v>1256</v>
      </c>
      <c r="V96" s="614" t="s">
        <v>864</v>
      </c>
      <c r="W96" s="614" t="s">
        <v>864</v>
      </c>
      <c r="X96" s="232"/>
      <c r="Y96" s="615"/>
      <c r="Z96" s="575"/>
      <c r="AA96" s="616"/>
      <c r="AB96" s="575"/>
      <c r="AC96" s="613">
        <v>1</v>
      </c>
      <c r="AD96" s="613"/>
      <c r="AE96" s="614"/>
    </row>
    <row r="97" spans="1:1018" ht="17.25" customHeight="1">
      <c r="A97" s="225">
        <v>89</v>
      </c>
      <c r="C97" s="224"/>
      <c r="D97" s="224" t="s">
        <v>1313</v>
      </c>
      <c r="E97" s="224"/>
      <c r="F97" s="224"/>
      <c r="G97" s="225"/>
      <c r="H97" s="225" t="s">
        <v>1314</v>
      </c>
      <c r="I97" s="273" t="s">
        <v>1260</v>
      </c>
      <c r="J97" s="225"/>
      <c r="K97" s="611" t="s">
        <v>1107</v>
      </c>
      <c r="L97" s="575"/>
      <c r="M97" s="575"/>
      <c r="N97" s="575"/>
      <c r="O97" s="575"/>
      <c r="P97" s="612"/>
      <c r="Q97" s="575" t="s">
        <v>820</v>
      </c>
      <c r="R97" s="575"/>
      <c r="S97" s="575" t="s">
        <v>863</v>
      </c>
      <c r="V97" s="274" t="s">
        <v>864</v>
      </c>
      <c r="W97" s="274" t="s">
        <v>864</v>
      </c>
      <c r="X97" s="232"/>
      <c r="AC97" s="175">
        <v>1</v>
      </c>
      <c r="AD97" s="274">
        <v>1</v>
      </c>
      <c r="AE97" s="274"/>
    </row>
    <row r="98" spans="1:1018" s="224" customFormat="1" ht="13.5" customHeight="1">
      <c r="A98" s="225">
        <v>90</v>
      </c>
      <c r="B98" s="217"/>
      <c r="C98" s="241" t="s">
        <v>1315</v>
      </c>
      <c r="D98" s="217" t="s">
        <v>1316</v>
      </c>
      <c r="E98" s="247"/>
      <c r="F98" s="217"/>
      <c r="G98" s="217"/>
      <c r="H98" s="575" t="s">
        <v>1317</v>
      </c>
      <c r="I98" s="611"/>
      <c r="J98" s="575" t="s">
        <v>1318</v>
      </c>
      <c r="K98" s="611" t="s">
        <v>1041</v>
      </c>
      <c r="L98" s="575" t="s">
        <v>1319</v>
      </c>
      <c r="M98" s="575" t="s">
        <v>1320</v>
      </c>
      <c r="N98" s="575"/>
      <c r="O98" s="575"/>
      <c r="P98" s="612"/>
      <c r="Q98" s="575" t="s">
        <v>820</v>
      </c>
      <c r="R98" s="575" t="s">
        <v>864</v>
      </c>
      <c r="S98" s="243" t="s">
        <v>1041</v>
      </c>
      <c r="T98" s="283"/>
      <c r="U98" s="575"/>
      <c r="V98" s="614" t="s">
        <v>864</v>
      </c>
      <c r="W98" s="614" t="s">
        <v>864</v>
      </c>
      <c r="X98" s="232"/>
      <c r="Y98" s="248"/>
      <c r="Z98" s="575"/>
      <c r="AA98" s="616"/>
      <c r="AB98" s="575"/>
      <c r="AC98" s="613">
        <v>1</v>
      </c>
      <c r="AD98" s="613">
        <v>1</v>
      </c>
      <c r="AE98" s="614"/>
    </row>
    <row r="99" spans="1:1018" s="224" customFormat="1" ht="13.5" customHeight="1">
      <c r="A99" s="225">
        <v>91</v>
      </c>
      <c r="B99" s="217"/>
      <c r="C99" s="241" t="s">
        <v>1321</v>
      </c>
      <c r="D99" s="217" t="s">
        <v>1322</v>
      </c>
      <c r="E99" s="217"/>
      <c r="F99" s="217"/>
      <c r="G99" s="217"/>
      <c r="H99" s="575" t="s">
        <v>1323</v>
      </c>
      <c r="I99" s="611"/>
      <c r="J99" s="575" t="s">
        <v>962</v>
      </c>
      <c r="K99" s="611" t="s">
        <v>963</v>
      </c>
      <c r="L99" s="575"/>
      <c r="M99" s="575"/>
      <c r="N99" s="575"/>
      <c r="O99" s="575"/>
      <c r="P99" s="612"/>
      <c r="Q99" s="575" t="s">
        <v>820</v>
      </c>
      <c r="R99" s="575" t="s">
        <v>864</v>
      </c>
      <c r="S99" s="243" t="s">
        <v>963</v>
      </c>
      <c r="T99" s="613"/>
      <c r="U99" s="575"/>
      <c r="V99" s="614" t="s">
        <v>864</v>
      </c>
      <c r="W99" s="614" t="s">
        <v>864</v>
      </c>
      <c r="X99" s="232"/>
      <c r="Y99" s="615"/>
      <c r="Z99" s="575"/>
      <c r="AA99" s="616"/>
      <c r="AB99" s="575"/>
      <c r="AC99" s="613">
        <v>1</v>
      </c>
      <c r="AD99" s="613">
        <v>1</v>
      </c>
      <c r="AE99" s="614"/>
    </row>
    <row r="100" spans="1:1018" s="224" customFormat="1" ht="13.5" customHeight="1">
      <c r="A100" s="225">
        <v>92</v>
      </c>
      <c r="B100" s="217"/>
      <c r="C100" s="241" t="s">
        <v>1324</v>
      </c>
      <c r="D100" s="217"/>
      <c r="E100" s="217"/>
      <c r="F100" s="217"/>
      <c r="G100" s="217"/>
      <c r="H100" s="575" t="s">
        <v>1325</v>
      </c>
      <c r="I100" s="611"/>
      <c r="J100" s="575" t="s">
        <v>1326</v>
      </c>
      <c r="K100" s="611" t="s">
        <v>1326</v>
      </c>
      <c r="L100" s="575"/>
      <c r="M100" s="575"/>
      <c r="N100" s="575"/>
      <c r="O100" s="575"/>
      <c r="P100" s="612"/>
      <c r="Q100" s="575" t="s">
        <v>820</v>
      </c>
      <c r="R100" s="575" t="s">
        <v>864</v>
      </c>
      <c r="S100" s="243" t="s">
        <v>1326</v>
      </c>
      <c r="T100" s="613"/>
      <c r="U100" s="575"/>
      <c r="V100" s="614" t="s">
        <v>864</v>
      </c>
      <c r="W100" s="614" t="s">
        <v>864</v>
      </c>
      <c r="X100" s="232"/>
      <c r="Y100" s="615"/>
      <c r="Z100" s="575"/>
      <c r="AA100" s="616"/>
      <c r="AB100" s="575"/>
      <c r="AC100" s="613">
        <v>1</v>
      </c>
      <c r="AD100" s="613">
        <v>1</v>
      </c>
      <c r="AE100" s="614"/>
    </row>
    <row r="101" spans="1:1018" s="224" customFormat="1" ht="13.5" customHeight="1">
      <c r="A101" s="225">
        <v>93</v>
      </c>
      <c r="B101" s="217"/>
      <c r="C101" s="241"/>
      <c r="D101" s="217" t="s">
        <v>1327</v>
      </c>
      <c r="E101" s="217"/>
      <c r="F101" s="241"/>
      <c r="G101" s="241"/>
      <c r="H101" s="575" t="s">
        <v>1328</v>
      </c>
      <c r="I101" s="611" t="s">
        <v>1329</v>
      </c>
      <c r="J101" s="575" t="s">
        <v>1330</v>
      </c>
      <c r="K101" s="611"/>
      <c r="L101" s="575"/>
      <c r="M101" s="575"/>
      <c r="N101" s="575"/>
      <c r="O101" s="575"/>
      <c r="P101" s="612"/>
      <c r="Q101" s="575" t="s">
        <v>820</v>
      </c>
      <c r="R101" s="575"/>
      <c r="S101" s="575" t="s">
        <v>863</v>
      </c>
      <c r="T101" s="613"/>
      <c r="U101" s="575"/>
      <c r="V101" s="614" t="s">
        <v>864</v>
      </c>
      <c r="W101" s="614" t="s">
        <v>864</v>
      </c>
      <c r="X101" s="232"/>
      <c r="Y101" s="615"/>
      <c r="Z101" s="575" t="s">
        <v>1063</v>
      </c>
      <c r="AA101" s="616"/>
      <c r="AB101" s="575"/>
      <c r="AC101" s="613"/>
      <c r="AD101" s="613">
        <v>1</v>
      </c>
      <c r="AE101" s="614"/>
    </row>
    <row r="102" spans="1:1018" s="224" customFormat="1" ht="13.5" customHeight="1">
      <c r="A102" s="225">
        <v>94</v>
      </c>
      <c r="B102" s="217"/>
      <c r="C102" s="241"/>
      <c r="D102" s="217" t="s">
        <v>1331</v>
      </c>
      <c r="E102" s="217"/>
      <c r="F102" s="241"/>
      <c r="G102" s="241"/>
      <c r="H102" s="575" t="s">
        <v>1332</v>
      </c>
      <c r="I102" s="611" t="s">
        <v>1333</v>
      </c>
      <c r="J102" s="575" t="s">
        <v>1334</v>
      </c>
      <c r="K102" s="611"/>
      <c r="L102" s="575"/>
      <c r="M102" s="575"/>
      <c r="N102" s="575"/>
      <c r="O102" s="575"/>
      <c r="P102" s="612"/>
      <c r="Q102" s="575" t="s">
        <v>820</v>
      </c>
      <c r="R102" s="575"/>
      <c r="S102" s="575" t="s">
        <v>863</v>
      </c>
      <c r="T102" s="613"/>
      <c r="U102" s="575"/>
      <c r="V102" s="614" t="s">
        <v>864</v>
      </c>
      <c r="W102" s="614" t="s">
        <v>864</v>
      </c>
      <c r="X102" s="232"/>
      <c r="Y102" s="615"/>
      <c r="Z102" s="575" t="s">
        <v>1335</v>
      </c>
      <c r="AA102" s="616"/>
      <c r="AB102" s="575"/>
      <c r="AC102" s="613"/>
      <c r="AD102" s="613">
        <v>1</v>
      </c>
      <c r="AE102" s="614"/>
    </row>
    <row r="103" spans="1:1018" s="224" customFormat="1" ht="13.5" customHeight="1">
      <c r="A103" s="225">
        <v>95</v>
      </c>
      <c r="B103" s="217"/>
      <c r="C103" s="241"/>
      <c r="D103" s="241" t="s">
        <v>1336</v>
      </c>
      <c r="E103" s="241"/>
      <c r="F103" s="241"/>
      <c r="G103" s="241"/>
      <c r="H103" s="575" t="s">
        <v>1337</v>
      </c>
      <c r="I103" s="611" t="s">
        <v>1338</v>
      </c>
      <c r="J103" s="575" t="s">
        <v>1339</v>
      </c>
      <c r="K103" s="611" t="s">
        <v>1340</v>
      </c>
      <c r="L103" s="575"/>
      <c r="M103" s="575"/>
      <c r="N103" s="575"/>
      <c r="O103" s="575"/>
      <c r="P103" s="612"/>
      <c r="Q103" s="575" t="s">
        <v>817</v>
      </c>
      <c r="R103" s="575"/>
      <c r="S103" s="575" t="s">
        <v>863</v>
      </c>
      <c r="T103" s="613"/>
      <c r="U103" s="575"/>
      <c r="V103" s="614" t="s">
        <v>864</v>
      </c>
      <c r="W103" s="614" t="s">
        <v>864</v>
      </c>
      <c r="X103" s="232"/>
      <c r="Y103" s="615"/>
      <c r="Z103" s="575"/>
      <c r="AA103" s="616"/>
      <c r="AB103" s="575"/>
      <c r="AC103" s="613"/>
      <c r="AD103" s="613">
        <v>1</v>
      </c>
      <c r="AE103" s="614"/>
    </row>
    <row r="104" spans="1:1018" s="224" customFormat="1" ht="13.5" customHeight="1">
      <c r="A104" s="225">
        <v>96</v>
      </c>
      <c r="B104" s="217"/>
      <c r="C104" s="241"/>
      <c r="D104" s="217" t="s">
        <v>1341</v>
      </c>
      <c r="E104" s="219" t="s">
        <v>1262</v>
      </c>
      <c r="F104" s="217"/>
      <c r="G104" s="217"/>
      <c r="H104" s="575" t="s">
        <v>1342</v>
      </c>
      <c r="I104" s="618"/>
      <c r="J104" s="575" t="s">
        <v>1343</v>
      </c>
      <c r="K104" s="611" t="s">
        <v>1344</v>
      </c>
      <c r="L104" s="575"/>
      <c r="M104" s="575"/>
      <c r="N104" s="575"/>
      <c r="O104" s="575"/>
      <c r="P104" s="612"/>
      <c r="Q104" s="575" t="s">
        <v>817</v>
      </c>
      <c r="R104" s="575" t="s">
        <v>864</v>
      </c>
      <c r="S104" s="243" t="s">
        <v>1251</v>
      </c>
      <c r="T104" s="613"/>
      <c r="U104" s="575"/>
      <c r="V104" s="614" t="s">
        <v>864</v>
      </c>
      <c r="W104" s="614" t="s">
        <v>864</v>
      </c>
      <c r="X104" s="232"/>
      <c r="Y104" s="615"/>
      <c r="Z104" s="575"/>
      <c r="AA104" s="616"/>
      <c r="AB104" s="575"/>
      <c r="AC104" s="613">
        <v>1</v>
      </c>
      <c r="AD104" s="613">
        <v>1</v>
      </c>
      <c r="AE104" s="614"/>
    </row>
    <row r="105" spans="1:1018" s="224" customFormat="1" ht="13.5" customHeight="1">
      <c r="A105" s="225">
        <v>97</v>
      </c>
      <c r="B105" s="217"/>
      <c r="C105" s="241"/>
      <c r="D105" s="217" t="s">
        <v>1345</v>
      </c>
      <c r="E105" s="241"/>
      <c r="F105" s="241"/>
      <c r="G105" s="241"/>
      <c r="H105" s="575" t="s">
        <v>1346</v>
      </c>
      <c r="I105" s="611" t="s">
        <v>1347</v>
      </c>
      <c r="J105" s="575" t="s">
        <v>1348</v>
      </c>
      <c r="K105" s="611"/>
      <c r="L105" s="575" t="s">
        <v>1349</v>
      </c>
      <c r="M105" s="575" t="s">
        <v>1350</v>
      </c>
      <c r="N105" s="575"/>
      <c r="O105" s="575"/>
      <c r="P105" s="612"/>
      <c r="Q105" s="575" t="s">
        <v>817</v>
      </c>
      <c r="R105" s="575"/>
      <c r="S105" s="575" t="s">
        <v>863</v>
      </c>
      <c r="T105" s="613"/>
      <c r="U105" s="575"/>
      <c r="V105" s="614" t="s">
        <v>864</v>
      </c>
      <c r="W105" s="614" t="s">
        <v>864</v>
      </c>
      <c r="X105" s="232"/>
      <c r="Y105" s="615"/>
      <c r="Z105" s="575"/>
      <c r="AA105" s="616"/>
      <c r="AB105" s="575"/>
      <c r="AC105" s="613">
        <v>1</v>
      </c>
      <c r="AD105" s="613">
        <v>1</v>
      </c>
      <c r="AE105" s="614"/>
    </row>
    <row r="106" spans="1:1018" s="251" customFormat="1" ht="13.5" customHeight="1">
      <c r="A106" s="225">
        <v>98</v>
      </c>
      <c r="B106" s="217"/>
      <c r="C106" s="241" t="s">
        <v>1351</v>
      </c>
      <c r="D106" s="610"/>
      <c r="E106" s="250"/>
      <c r="F106" s="250"/>
      <c r="G106" s="250"/>
      <c r="H106" s="575" t="s">
        <v>1352</v>
      </c>
      <c r="I106" s="611"/>
      <c r="J106" s="575" t="s">
        <v>1353</v>
      </c>
      <c r="K106" s="611" t="s">
        <v>1354</v>
      </c>
      <c r="L106" s="575"/>
      <c r="M106" s="575"/>
      <c r="N106" s="575"/>
      <c r="O106" s="575"/>
      <c r="P106" s="612"/>
      <c r="Q106" s="575" t="s">
        <v>823</v>
      </c>
      <c r="R106" s="575" t="s">
        <v>864</v>
      </c>
      <c r="S106" s="243" t="s">
        <v>1354</v>
      </c>
      <c r="T106" s="283"/>
      <c r="U106" s="575"/>
      <c r="V106" s="614" t="s">
        <v>864</v>
      </c>
      <c r="W106" s="614" t="s">
        <v>864</v>
      </c>
      <c r="X106" s="232"/>
      <c r="Y106" s="248"/>
      <c r="Z106" s="575"/>
      <c r="AA106" s="616"/>
      <c r="AB106" s="575"/>
      <c r="AC106" s="613">
        <v>1</v>
      </c>
      <c r="AD106" s="613">
        <v>1</v>
      </c>
      <c r="AE106" s="614"/>
      <c r="AMD106" s="224"/>
    </row>
    <row r="107" spans="1:1018" s="251" customFormat="1" ht="13.5" customHeight="1">
      <c r="A107" s="225">
        <v>99</v>
      </c>
      <c r="B107" s="217"/>
      <c r="C107" s="241"/>
      <c r="D107" s="610" t="s">
        <v>1355</v>
      </c>
      <c r="E107" s="610"/>
      <c r="F107" s="241"/>
      <c r="G107" s="241"/>
      <c r="H107" s="575" t="s">
        <v>1356</v>
      </c>
      <c r="I107" s="611" t="s">
        <v>1357</v>
      </c>
      <c r="J107" s="575" t="s">
        <v>1358</v>
      </c>
      <c r="K107" s="611" t="s">
        <v>1359</v>
      </c>
      <c r="L107" s="575"/>
      <c r="M107" s="575"/>
      <c r="N107" s="575"/>
      <c r="O107" s="575"/>
      <c r="P107" s="612"/>
      <c r="Q107" s="575" t="s">
        <v>817</v>
      </c>
      <c r="R107" s="575"/>
      <c r="S107" s="575" t="s">
        <v>863</v>
      </c>
      <c r="T107" s="613" t="s">
        <v>864</v>
      </c>
      <c r="U107" s="575"/>
      <c r="V107" s="614" t="s">
        <v>864</v>
      </c>
      <c r="W107" s="614" t="s">
        <v>864</v>
      </c>
      <c r="X107" s="232"/>
      <c r="Y107" s="615"/>
      <c r="Z107" s="575" t="s">
        <v>999</v>
      </c>
      <c r="AA107" s="616"/>
      <c r="AB107" s="575"/>
      <c r="AC107" s="613">
        <v>1</v>
      </c>
      <c r="AD107" s="613">
        <v>1</v>
      </c>
      <c r="AE107" s="614"/>
      <c r="AMD107" s="224"/>
    </row>
    <row r="108" spans="1:1018" s="251" customFormat="1" ht="13.5" customHeight="1">
      <c r="A108" s="225">
        <v>100</v>
      </c>
      <c r="B108" s="217"/>
      <c r="C108" s="241"/>
      <c r="D108" s="610" t="s">
        <v>1360</v>
      </c>
      <c r="E108" s="610"/>
      <c r="F108" s="241"/>
      <c r="G108" s="241"/>
      <c r="H108" s="575" t="s">
        <v>1361</v>
      </c>
      <c r="I108" s="611" t="s">
        <v>1362</v>
      </c>
      <c r="J108" s="575" t="s">
        <v>1363</v>
      </c>
      <c r="K108" s="611"/>
      <c r="L108" s="575"/>
      <c r="M108" s="575"/>
      <c r="N108" s="575"/>
      <c r="O108" s="575"/>
      <c r="P108" s="612"/>
      <c r="Q108" s="575" t="s">
        <v>817</v>
      </c>
      <c r="R108" s="575"/>
      <c r="S108" s="575" t="s">
        <v>863</v>
      </c>
      <c r="T108" s="613"/>
      <c r="U108" s="575"/>
      <c r="V108" s="614" t="s">
        <v>864</v>
      </c>
      <c r="W108" s="614" t="s">
        <v>864</v>
      </c>
      <c r="X108" s="232"/>
      <c r="Y108" s="615"/>
      <c r="Z108" s="575"/>
      <c r="AA108" s="616"/>
      <c r="AB108" s="575"/>
      <c r="AC108" s="613">
        <v>1</v>
      </c>
      <c r="AD108" s="613">
        <v>1</v>
      </c>
      <c r="AE108" s="614"/>
      <c r="AMD108" s="224"/>
    </row>
    <row r="109" spans="1:1018" s="251" customFormat="1" ht="13.5" customHeight="1">
      <c r="A109" s="225">
        <v>101</v>
      </c>
      <c r="B109" s="217"/>
      <c r="C109" s="241"/>
      <c r="D109" s="610" t="s">
        <v>1364</v>
      </c>
      <c r="E109" s="610"/>
      <c r="F109" s="241"/>
      <c r="G109" s="241"/>
      <c r="H109" s="575" t="s">
        <v>1365</v>
      </c>
      <c r="I109" s="611" t="s">
        <v>1366</v>
      </c>
      <c r="J109" s="575" t="s">
        <v>1367</v>
      </c>
      <c r="K109" s="611"/>
      <c r="L109" s="575"/>
      <c r="M109" s="575"/>
      <c r="N109" s="575"/>
      <c r="O109" s="575"/>
      <c r="P109" s="612"/>
      <c r="Q109" s="575" t="s">
        <v>817</v>
      </c>
      <c r="R109" s="575"/>
      <c r="S109" s="575" t="s">
        <v>1368</v>
      </c>
      <c r="T109" s="613"/>
      <c r="U109" s="575"/>
      <c r="V109" s="614" t="s">
        <v>864</v>
      </c>
      <c r="W109" s="614" t="s">
        <v>864</v>
      </c>
      <c r="X109" s="232"/>
      <c r="Y109" s="615"/>
      <c r="Z109" s="575"/>
      <c r="AA109" s="616"/>
      <c r="AB109" s="575"/>
      <c r="AC109" s="613">
        <v>1</v>
      </c>
      <c r="AD109" s="613">
        <v>1</v>
      </c>
      <c r="AE109" s="614"/>
      <c r="AMD109" s="224"/>
    </row>
    <row r="110" spans="1:1018" s="251" customFormat="1" ht="13.5" customHeight="1">
      <c r="A110" s="225">
        <v>102</v>
      </c>
      <c r="B110" s="217"/>
      <c r="C110" s="241"/>
      <c r="D110" s="610" t="s">
        <v>875</v>
      </c>
      <c r="E110" s="610"/>
      <c r="F110" s="241"/>
      <c r="G110" s="241"/>
      <c r="H110" s="575" t="s">
        <v>1369</v>
      </c>
      <c r="I110" s="276" t="s">
        <v>1370</v>
      </c>
      <c r="J110" s="575" t="s">
        <v>875</v>
      </c>
      <c r="K110" s="611"/>
      <c r="L110" s="575"/>
      <c r="M110" s="575"/>
      <c r="N110" s="575"/>
      <c r="O110" s="575"/>
      <c r="P110" s="612"/>
      <c r="Q110" s="575" t="s">
        <v>820</v>
      </c>
      <c r="R110" s="575"/>
      <c r="S110" s="575" t="s">
        <v>863</v>
      </c>
      <c r="T110" s="613"/>
      <c r="U110" s="575"/>
      <c r="V110" s="614" t="s">
        <v>864</v>
      </c>
      <c r="W110" s="614" t="s">
        <v>864</v>
      </c>
      <c r="X110" s="232"/>
      <c r="Y110" s="615"/>
      <c r="Z110" s="575"/>
      <c r="AA110" s="616"/>
      <c r="AB110" s="575"/>
      <c r="AC110" s="613">
        <v>1</v>
      </c>
      <c r="AD110" s="613">
        <v>1</v>
      </c>
      <c r="AE110" s="614"/>
      <c r="AMD110" s="224"/>
    </row>
    <row r="111" spans="1:1018" s="251" customFormat="1" ht="13.5" customHeight="1">
      <c r="A111" s="225">
        <v>103</v>
      </c>
      <c r="B111" s="217"/>
      <c r="C111" s="241"/>
      <c r="D111" s="610" t="s">
        <v>1371</v>
      </c>
      <c r="E111" s="610"/>
      <c r="F111" s="241"/>
      <c r="G111" s="241"/>
      <c r="H111" s="575" t="s">
        <v>1372</v>
      </c>
      <c r="I111" s="611"/>
      <c r="J111" s="575" t="s">
        <v>1373</v>
      </c>
      <c r="K111" s="611"/>
      <c r="L111" s="575"/>
      <c r="M111" s="575"/>
      <c r="N111" s="575"/>
      <c r="O111" s="575"/>
      <c r="P111" s="612"/>
      <c r="Q111" s="575" t="s">
        <v>817</v>
      </c>
      <c r="R111" s="575"/>
      <c r="S111" s="575" t="s">
        <v>863</v>
      </c>
      <c r="T111" s="613"/>
      <c r="U111" s="575"/>
      <c r="V111" s="614" t="s">
        <v>864</v>
      </c>
      <c r="W111" s="614" t="s">
        <v>864</v>
      </c>
      <c r="X111" s="232"/>
      <c r="Y111" s="615"/>
      <c r="Z111" s="575"/>
      <c r="AA111" s="616"/>
      <c r="AB111" s="575"/>
      <c r="AC111" s="613">
        <v>1</v>
      </c>
      <c r="AD111" s="613">
        <v>1</v>
      </c>
      <c r="AE111" s="614"/>
      <c r="AMD111" s="224"/>
    </row>
    <row r="112" spans="1:1018" s="251" customFormat="1" ht="12.95" customHeight="1">
      <c r="A112" s="225">
        <v>104</v>
      </c>
      <c r="B112" s="217"/>
      <c r="C112" s="241"/>
      <c r="D112" s="610" t="s">
        <v>1374</v>
      </c>
      <c r="E112" s="610"/>
      <c r="F112" s="241"/>
      <c r="G112" s="241"/>
      <c r="H112" s="575" t="s">
        <v>1375</v>
      </c>
      <c r="I112" s="611"/>
      <c r="J112" s="575" t="s">
        <v>1376</v>
      </c>
      <c r="K112" s="611"/>
      <c r="L112" s="575"/>
      <c r="M112" s="575"/>
      <c r="N112" s="575"/>
      <c r="O112" s="575"/>
      <c r="P112" s="612"/>
      <c r="Q112" s="575" t="s">
        <v>817</v>
      </c>
      <c r="R112" s="575"/>
      <c r="S112" s="575" t="s">
        <v>863</v>
      </c>
      <c r="T112" s="613"/>
      <c r="U112" s="575"/>
      <c r="V112" s="614" t="s">
        <v>864</v>
      </c>
      <c r="W112" s="614" t="s">
        <v>864</v>
      </c>
      <c r="X112" s="232"/>
      <c r="Y112" s="615"/>
      <c r="Z112" s="575"/>
      <c r="AA112" s="616"/>
      <c r="AB112" s="575"/>
      <c r="AC112" s="613">
        <v>1</v>
      </c>
      <c r="AD112" s="613">
        <v>1</v>
      </c>
      <c r="AE112" s="614"/>
      <c r="AMD112" s="224"/>
    </row>
    <row r="113" spans="1:31" s="224" customFormat="1" ht="13.5" customHeight="1">
      <c r="A113" s="225">
        <v>105</v>
      </c>
      <c r="B113" s="217" t="s">
        <v>1377</v>
      </c>
      <c r="C113" s="216"/>
      <c r="D113" s="241"/>
      <c r="E113" s="241"/>
      <c r="F113" s="241"/>
      <c r="G113" s="241"/>
      <c r="H113" s="575" t="s">
        <v>1378</v>
      </c>
      <c r="I113" s="611" t="s">
        <v>1329</v>
      </c>
      <c r="J113" s="575"/>
      <c r="K113" s="611" t="s">
        <v>1379</v>
      </c>
      <c r="L113" s="575"/>
      <c r="M113" s="575"/>
      <c r="N113" s="575"/>
      <c r="O113" s="575"/>
      <c r="P113" s="612"/>
      <c r="Q113" s="575" t="s">
        <v>820</v>
      </c>
      <c r="R113" s="575"/>
      <c r="S113" s="575" t="s">
        <v>863</v>
      </c>
      <c r="T113" s="613"/>
      <c r="U113" s="619"/>
      <c r="V113" s="614"/>
      <c r="W113" s="614" t="s">
        <v>864</v>
      </c>
      <c r="X113" s="232"/>
      <c r="Y113" s="380" t="s">
        <v>1380</v>
      </c>
      <c r="Z113" s="386" t="s">
        <v>1335</v>
      </c>
      <c r="AA113" s="616"/>
      <c r="AB113" s="575"/>
      <c r="AC113" s="613"/>
      <c r="AD113" s="613">
        <v>1</v>
      </c>
      <c r="AE113" s="614"/>
    </row>
    <row r="114" spans="1:31" s="224" customFormat="1" ht="13.5" customHeight="1">
      <c r="A114" s="225">
        <v>106</v>
      </c>
      <c r="B114" s="217" t="s">
        <v>1381</v>
      </c>
      <c r="C114" s="216"/>
      <c r="D114" s="216"/>
      <c r="E114" s="216"/>
      <c r="F114" s="216"/>
      <c r="G114" s="216"/>
      <c r="H114" s="575" t="s">
        <v>1382</v>
      </c>
      <c r="I114" s="618"/>
      <c r="J114" s="575"/>
      <c r="K114" s="611" t="s">
        <v>1383</v>
      </c>
      <c r="L114" s="575"/>
      <c r="M114" s="575"/>
      <c r="N114" s="575"/>
      <c r="O114" s="575"/>
      <c r="P114" s="612"/>
      <c r="Q114" s="575" t="s">
        <v>823</v>
      </c>
      <c r="R114" s="575" t="s">
        <v>864</v>
      </c>
      <c r="S114" s="379" t="s">
        <v>1383</v>
      </c>
      <c r="T114" s="613"/>
      <c r="U114" s="622"/>
      <c r="V114" s="614"/>
      <c r="W114" s="260" t="s">
        <v>864</v>
      </c>
      <c r="X114" s="232"/>
      <c r="Y114" s="615"/>
      <c r="Z114" s="575"/>
      <c r="AA114" s="616"/>
      <c r="AB114" s="575"/>
      <c r="AC114" s="613"/>
      <c r="AD114" s="613">
        <v>1</v>
      </c>
      <c r="AE114" s="260"/>
    </row>
    <row r="115" spans="1:31" s="224" customFormat="1" ht="13.5" customHeight="1">
      <c r="A115" s="225">
        <v>107</v>
      </c>
      <c r="B115" s="216"/>
      <c r="C115" s="241" t="s">
        <v>1291</v>
      </c>
      <c r="D115" s="241"/>
      <c r="E115" s="241"/>
      <c r="F115" s="241"/>
      <c r="G115" s="241"/>
      <c r="H115" s="575" t="s">
        <v>1384</v>
      </c>
      <c r="I115" s="618"/>
      <c r="J115" s="575"/>
      <c r="K115" s="611" t="s">
        <v>1290</v>
      </c>
      <c r="L115" s="575"/>
      <c r="M115" s="575"/>
      <c r="N115" s="575"/>
      <c r="O115" s="575"/>
      <c r="P115" s="612"/>
      <c r="Q115" s="383" t="s">
        <v>817</v>
      </c>
      <c r="R115" s="575" t="s">
        <v>864</v>
      </c>
      <c r="S115" s="379" t="s">
        <v>1290</v>
      </c>
      <c r="T115" s="613"/>
      <c r="U115" s="613"/>
      <c r="V115" s="614"/>
      <c r="W115" s="260" t="s">
        <v>864</v>
      </c>
      <c r="X115" s="232"/>
      <c r="Y115" s="385" t="s">
        <v>1385</v>
      </c>
      <c r="Z115" s="575"/>
      <c r="AA115" s="616"/>
      <c r="AB115" s="575"/>
      <c r="AC115" s="613"/>
      <c r="AD115" s="613">
        <v>1</v>
      </c>
      <c r="AE115" s="260"/>
    </row>
    <row r="116" spans="1:31" s="224" customFormat="1" ht="13.5" customHeight="1">
      <c r="A116" s="225">
        <v>108</v>
      </c>
      <c r="B116" s="216"/>
      <c r="C116" s="241" t="s">
        <v>831</v>
      </c>
      <c r="D116" s="241"/>
      <c r="E116" s="241"/>
      <c r="F116" s="241"/>
      <c r="G116" s="241"/>
      <c r="H116" s="575" t="s">
        <v>1386</v>
      </c>
      <c r="I116" s="618"/>
      <c r="J116" s="575"/>
      <c r="K116" s="611" t="s">
        <v>1205</v>
      </c>
      <c r="L116" s="575"/>
      <c r="M116" s="575"/>
      <c r="N116" s="575"/>
      <c r="O116" s="575"/>
      <c r="P116" s="612"/>
      <c r="Q116" s="575" t="s">
        <v>817</v>
      </c>
      <c r="R116" s="575"/>
      <c r="S116" s="575" t="s">
        <v>863</v>
      </c>
      <c r="T116" s="613"/>
      <c r="U116" s="622"/>
      <c r="V116" s="614"/>
      <c r="W116" s="260" t="s">
        <v>864</v>
      </c>
      <c r="X116" s="232"/>
      <c r="Y116" s="615"/>
      <c r="Z116" s="575"/>
      <c r="AA116" s="616"/>
      <c r="AB116" s="575"/>
      <c r="AC116" s="613"/>
      <c r="AD116" s="613">
        <v>1</v>
      </c>
      <c r="AE116" s="260"/>
    </row>
    <row r="117" spans="1:31" s="224" customFormat="1" ht="13.5" customHeight="1">
      <c r="A117" s="225">
        <v>109</v>
      </c>
      <c r="B117" s="217"/>
      <c r="C117" s="241" t="s">
        <v>1387</v>
      </c>
      <c r="D117" s="241"/>
      <c r="E117" s="241"/>
      <c r="F117" s="241"/>
      <c r="G117" s="241"/>
      <c r="H117" s="575" t="s">
        <v>1388</v>
      </c>
      <c r="I117" s="618" t="s">
        <v>1389</v>
      </c>
      <c r="J117" s="575"/>
      <c r="K117" s="611" t="s">
        <v>1340</v>
      </c>
      <c r="L117" s="575"/>
      <c r="M117" s="575"/>
      <c r="N117" s="575"/>
      <c r="O117" s="575"/>
      <c r="P117" s="612"/>
      <c r="Q117" s="575" t="s">
        <v>820</v>
      </c>
      <c r="R117" s="575"/>
      <c r="S117" s="575" t="s">
        <v>863</v>
      </c>
      <c r="T117" s="613"/>
      <c r="U117" s="613"/>
      <c r="V117" s="614"/>
      <c r="W117" s="614" t="s">
        <v>864</v>
      </c>
      <c r="X117" s="232"/>
      <c r="Y117" s="615"/>
      <c r="Z117" s="575"/>
      <c r="AA117" s="616"/>
      <c r="AB117" s="575"/>
      <c r="AC117" s="613"/>
      <c r="AD117" s="613">
        <v>1</v>
      </c>
      <c r="AE117" s="614"/>
    </row>
    <row r="118" spans="1:31" s="224" customFormat="1" ht="14.25" customHeight="1">
      <c r="A118" s="225">
        <v>110</v>
      </c>
      <c r="B118" s="217" t="s">
        <v>1390</v>
      </c>
      <c r="C118" s="217"/>
      <c r="D118" s="217"/>
      <c r="E118" s="217"/>
      <c r="F118" s="217"/>
      <c r="G118" s="217"/>
      <c r="H118" s="575" t="s">
        <v>1391</v>
      </c>
      <c r="I118" s="618"/>
      <c r="J118" s="575"/>
      <c r="K118" s="611" t="s">
        <v>1392</v>
      </c>
      <c r="L118" s="575"/>
      <c r="M118" s="575"/>
      <c r="N118" s="575"/>
      <c r="O118" s="575"/>
      <c r="P118" s="612"/>
      <c r="Q118" s="575" t="s">
        <v>823</v>
      </c>
      <c r="R118" s="575" t="s">
        <v>864</v>
      </c>
      <c r="S118" s="379" t="s">
        <v>1392</v>
      </c>
      <c r="T118" s="613"/>
      <c r="U118" s="259"/>
      <c r="V118" s="260" t="s">
        <v>864</v>
      </c>
      <c r="W118" s="260" t="s">
        <v>864</v>
      </c>
      <c r="X118" s="232"/>
      <c r="Y118" s="615"/>
      <c r="Z118" s="575"/>
      <c r="AA118" s="245"/>
      <c r="AB118" s="575"/>
      <c r="AC118" s="613"/>
      <c r="AD118" s="613">
        <v>1</v>
      </c>
      <c r="AE118" s="260" t="s">
        <v>864</v>
      </c>
    </row>
    <row r="119" spans="1:31" s="224" customFormat="1" ht="13.5" customHeight="1">
      <c r="A119" s="225">
        <v>111</v>
      </c>
      <c r="B119" s="217"/>
      <c r="C119" s="217" t="s">
        <v>1393</v>
      </c>
      <c r="D119" s="241"/>
      <c r="E119" s="219"/>
      <c r="F119" s="241"/>
      <c r="G119" s="241"/>
      <c r="H119" s="575" t="s">
        <v>1394</v>
      </c>
      <c r="I119" s="618"/>
      <c r="J119" s="575"/>
      <c r="K119" s="611" t="s">
        <v>1205</v>
      </c>
      <c r="L119" s="575"/>
      <c r="M119" s="575"/>
      <c r="N119" s="575"/>
      <c r="O119" s="575"/>
      <c r="P119" s="612"/>
      <c r="Q119" s="575" t="s">
        <v>820</v>
      </c>
      <c r="R119" s="575"/>
      <c r="S119" s="611" t="s">
        <v>863</v>
      </c>
      <c r="T119" s="613"/>
      <c r="U119" s="613"/>
      <c r="V119" s="614" t="s">
        <v>864</v>
      </c>
      <c r="W119" s="260" t="s">
        <v>864</v>
      </c>
      <c r="X119" s="232"/>
      <c r="Y119" s="266" t="s">
        <v>1395</v>
      </c>
      <c r="Z119" s="575" t="s">
        <v>1396</v>
      </c>
      <c r="AA119" s="616"/>
      <c r="AB119" s="575"/>
      <c r="AC119" s="613"/>
      <c r="AD119" s="613">
        <v>1</v>
      </c>
      <c r="AE119" s="260" t="s">
        <v>864</v>
      </c>
    </row>
    <row r="120" spans="1:31" s="224" customFormat="1" ht="13.5" customHeight="1">
      <c r="A120" s="225">
        <v>112</v>
      </c>
      <c r="B120" s="217"/>
      <c r="C120" s="217" t="s">
        <v>1397</v>
      </c>
      <c r="D120" s="219"/>
      <c r="E120" s="219"/>
      <c r="F120" s="219"/>
      <c r="G120" s="219"/>
      <c r="H120" s="575"/>
      <c r="I120" s="618"/>
      <c r="J120" s="575"/>
      <c r="K120" s="611" t="s">
        <v>1612</v>
      </c>
      <c r="L120" s="575"/>
      <c r="M120" s="575"/>
      <c r="N120" s="575"/>
      <c r="O120" s="575"/>
      <c r="P120" s="612"/>
      <c r="Q120" s="575" t="s">
        <v>817</v>
      </c>
      <c r="R120" s="575" t="s">
        <v>864</v>
      </c>
      <c r="S120" s="243" t="s">
        <v>1612</v>
      </c>
      <c r="T120" s="613"/>
      <c r="U120" s="613"/>
      <c r="V120" s="260"/>
      <c r="W120" s="260" t="s">
        <v>864</v>
      </c>
      <c r="X120" s="232"/>
      <c r="Y120" s="615"/>
      <c r="Z120" s="575"/>
      <c r="AA120" s="245"/>
      <c r="AB120" s="575"/>
      <c r="AC120" s="613"/>
      <c r="AD120" s="613">
        <v>1</v>
      </c>
      <c r="AE120" s="260" t="s">
        <v>864</v>
      </c>
    </row>
    <row r="121" spans="1:31" s="224" customFormat="1" ht="13.5" customHeight="1">
      <c r="A121" s="225">
        <v>113</v>
      </c>
      <c r="B121" s="217"/>
      <c r="C121" s="217"/>
      <c r="D121" s="241" t="s">
        <v>1399</v>
      </c>
      <c r="E121" s="219"/>
      <c r="F121" s="219"/>
      <c r="G121" s="219"/>
      <c r="H121" s="575" t="s">
        <v>1400</v>
      </c>
      <c r="I121" s="618"/>
      <c r="J121" s="575"/>
      <c r="K121" s="611" t="s">
        <v>1401</v>
      </c>
      <c r="L121" s="575"/>
      <c r="M121" s="575"/>
      <c r="N121" s="575"/>
      <c r="O121" s="575"/>
      <c r="P121" s="612"/>
      <c r="Q121" s="575" t="s">
        <v>823</v>
      </c>
      <c r="R121" s="575" t="s">
        <v>864</v>
      </c>
      <c r="S121" s="379" t="s">
        <v>1401</v>
      </c>
      <c r="T121" s="613"/>
      <c r="U121" s="613"/>
      <c r="V121" s="614"/>
      <c r="W121" s="260" t="s">
        <v>864</v>
      </c>
      <c r="X121" s="232"/>
      <c r="Y121" s="615"/>
      <c r="Z121" s="575"/>
      <c r="AA121" s="616"/>
      <c r="AB121" s="575"/>
      <c r="AC121" s="613"/>
      <c r="AD121" s="613">
        <v>1</v>
      </c>
      <c r="AE121" s="260"/>
    </row>
    <row r="122" spans="1:31" s="224" customFormat="1" ht="13.5" customHeight="1">
      <c r="A122" s="225">
        <v>114</v>
      </c>
      <c r="B122" s="217"/>
      <c r="C122" s="217"/>
      <c r="D122" s="241"/>
      <c r="E122" s="241" t="s">
        <v>1058</v>
      </c>
      <c r="F122" s="241"/>
      <c r="G122" s="241"/>
      <c r="H122" s="575" t="s">
        <v>1059</v>
      </c>
      <c r="I122" s="618" t="s">
        <v>1402</v>
      </c>
      <c r="J122" s="575"/>
      <c r="K122" s="611" t="s">
        <v>908</v>
      </c>
      <c r="L122" s="575"/>
      <c r="M122" s="575"/>
      <c r="N122" s="575"/>
      <c r="O122" s="575"/>
      <c r="P122" s="612"/>
      <c r="Q122" s="575" t="s">
        <v>820</v>
      </c>
      <c r="R122" s="575"/>
      <c r="S122" s="575" t="s">
        <v>863</v>
      </c>
      <c r="T122" s="613" t="s">
        <v>864</v>
      </c>
      <c r="U122" s="613" t="s">
        <v>1403</v>
      </c>
      <c r="V122" s="260"/>
      <c r="W122" s="260" t="s">
        <v>864</v>
      </c>
      <c r="X122" s="232"/>
      <c r="Y122" s="266" t="s">
        <v>1062</v>
      </c>
      <c r="Z122" s="575" t="s">
        <v>1063</v>
      </c>
      <c r="AA122" s="245"/>
      <c r="AB122" s="575"/>
      <c r="AC122" s="613"/>
      <c r="AD122" s="613">
        <v>1</v>
      </c>
      <c r="AE122" s="260"/>
    </row>
    <row r="123" spans="1:31" s="224" customFormat="1" ht="13.5" customHeight="1">
      <c r="A123" s="225">
        <v>115</v>
      </c>
      <c r="B123" s="217"/>
      <c r="C123" s="217"/>
      <c r="D123" s="241"/>
      <c r="E123" s="241" t="s">
        <v>1064</v>
      </c>
      <c r="F123" s="241"/>
      <c r="G123" s="241"/>
      <c r="H123" s="575" t="s">
        <v>1065</v>
      </c>
      <c r="I123" s="618" t="s">
        <v>1347</v>
      </c>
      <c r="J123" s="575"/>
      <c r="K123" s="611" t="s">
        <v>1067</v>
      </c>
      <c r="L123" s="575"/>
      <c r="M123" s="575"/>
      <c r="N123" s="575"/>
      <c r="O123" s="575"/>
      <c r="P123" s="612"/>
      <c r="Q123" s="575" t="s">
        <v>820</v>
      </c>
      <c r="R123" s="575"/>
      <c r="S123" s="575" t="s">
        <v>863</v>
      </c>
      <c r="T123" s="613"/>
      <c r="U123" s="613"/>
      <c r="V123" s="260"/>
      <c r="W123" s="260" t="s">
        <v>864</v>
      </c>
      <c r="X123" s="232"/>
      <c r="Y123" s="615"/>
      <c r="Z123" s="575"/>
      <c r="AA123" s="245"/>
      <c r="AB123" s="575"/>
      <c r="AC123" s="613"/>
      <c r="AD123" s="613">
        <v>1</v>
      </c>
      <c r="AE123" s="260"/>
    </row>
    <row r="124" spans="1:31" s="224" customFormat="1" ht="13.5" customHeight="1">
      <c r="A124" s="225">
        <v>116</v>
      </c>
      <c r="B124" s="217"/>
      <c r="C124" s="217"/>
      <c r="D124" s="217" t="s">
        <v>1246</v>
      </c>
      <c r="E124" s="219" t="s">
        <v>1262</v>
      </c>
      <c r="F124" s="241"/>
      <c r="G124" s="241"/>
      <c r="H124" s="575" t="s">
        <v>1404</v>
      </c>
      <c r="I124" s="618"/>
      <c r="J124" s="575"/>
      <c r="K124" s="611" t="s">
        <v>1251</v>
      </c>
      <c r="L124" s="575"/>
      <c r="M124" s="575"/>
      <c r="N124" s="575"/>
      <c r="O124" s="575"/>
      <c r="P124" s="612"/>
      <c r="Q124" s="575" t="s">
        <v>823</v>
      </c>
      <c r="R124" s="575" t="s">
        <v>864</v>
      </c>
      <c r="S124" s="243" t="s">
        <v>1251</v>
      </c>
      <c r="T124" s="613"/>
      <c r="U124" s="613"/>
      <c r="V124" s="260"/>
      <c r="W124" s="260" t="s">
        <v>864</v>
      </c>
      <c r="X124" s="232"/>
      <c r="Y124" s="384" t="s">
        <v>1405</v>
      </c>
      <c r="Z124" s="390" t="s">
        <v>1406</v>
      </c>
      <c r="AA124" s="245" t="s">
        <v>1252</v>
      </c>
      <c r="AB124" s="575"/>
      <c r="AC124" s="613"/>
      <c r="AD124" s="613">
        <v>1</v>
      </c>
      <c r="AE124" s="260"/>
    </row>
    <row r="125" spans="1:31" s="224" customFormat="1" ht="13.5" customHeight="1">
      <c r="A125" s="225">
        <v>117</v>
      </c>
      <c r="B125" s="217"/>
      <c r="C125" s="217"/>
      <c r="D125" s="217" t="s">
        <v>1407</v>
      </c>
      <c r="E125" s="241"/>
      <c r="F125" s="241"/>
      <c r="G125" s="241"/>
      <c r="H125" s="575" t="s">
        <v>1408</v>
      </c>
      <c r="I125" s="618"/>
      <c r="J125" s="575"/>
      <c r="K125" s="611" t="s">
        <v>1409</v>
      </c>
      <c r="L125" s="575"/>
      <c r="M125" s="575"/>
      <c r="N125" s="575"/>
      <c r="O125" s="575"/>
      <c r="P125" s="612"/>
      <c r="Q125" s="575" t="s">
        <v>817</v>
      </c>
      <c r="R125" s="575" t="s">
        <v>864</v>
      </c>
      <c r="S125" s="379" t="s">
        <v>1409</v>
      </c>
      <c r="T125" s="613"/>
      <c r="U125" s="613"/>
      <c r="V125" s="260"/>
      <c r="W125" s="260" t="s">
        <v>864</v>
      </c>
      <c r="X125" s="232"/>
      <c r="Y125" s="615"/>
      <c r="Z125" s="575"/>
      <c r="AA125" s="245"/>
      <c r="AB125" s="575"/>
      <c r="AC125" s="613"/>
      <c r="AD125" s="613">
        <v>1</v>
      </c>
      <c r="AE125" s="260" t="s">
        <v>864</v>
      </c>
    </row>
    <row r="126" spans="1:31" s="224" customFormat="1" ht="13.5" customHeight="1">
      <c r="A126" s="225">
        <v>118</v>
      </c>
      <c r="B126" s="217"/>
      <c r="C126" s="217"/>
      <c r="D126" s="217"/>
      <c r="E126" s="217" t="s">
        <v>1068</v>
      </c>
      <c r="F126" s="219" t="s">
        <v>1410</v>
      </c>
      <c r="G126" s="241"/>
      <c r="H126" s="575"/>
      <c r="I126" s="618"/>
      <c r="J126" s="575"/>
      <c r="K126" s="611" t="s">
        <v>1069</v>
      </c>
      <c r="L126" s="575"/>
      <c r="M126" s="575"/>
      <c r="N126" s="575"/>
      <c r="O126" s="575"/>
      <c r="P126" s="612"/>
      <c r="Q126" s="575" t="s">
        <v>817</v>
      </c>
      <c r="R126" s="575" t="s">
        <v>864</v>
      </c>
      <c r="S126" s="243" t="s">
        <v>1069</v>
      </c>
      <c r="T126" s="613"/>
      <c r="U126" s="613"/>
      <c r="V126" s="260"/>
      <c r="W126" s="260" t="s">
        <v>864</v>
      </c>
      <c r="X126" s="232"/>
      <c r="Y126" s="615"/>
      <c r="Z126" s="575"/>
      <c r="AA126" s="245"/>
      <c r="AB126" s="575"/>
      <c r="AC126" s="613"/>
      <c r="AD126" s="613">
        <v>1</v>
      </c>
      <c r="AE126" s="260" t="s">
        <v>864</v>
      </c>
    </row>
    <row r="127" spans="1:31" s="224" customFormat="1" ht="13.5" customHeight="1">
      <c r="A127" s="225">
        <v>119</v>
      </c>
      <c r="B127" s="217"/>
      <c r="C127" s="217"/>
      <c r="D127" s="217"/>
      <c r="E127" s="217" t="s">
        <v>1093</v>
      </c>
      <c r="F127" s="219" t="s">
        <v>1411</v>
      </c>
      <c r="G127" s="241"/>
      <c r="H127" s="575"/>
      <c r="I127" s="618"/>
      <c r="J127" s="575"/>
      <c r="K127" s="611" t="s">
        <v>1094</v>
      </c>
      <c r="L127" s="575"/>
      <c r="M127" s="575"/>
      <c r="N127" s="575"/>
      <c r="O127" s="575"/>
      <c r="P127" s="612"/>
      <c r="Q127" s="575" t="s">
        <v>817</v>
      </c>
      <c r="R127" s="575" t="s">
        <v>864</v>
      </c>
      <c r="S127" s="243" t="s">
        <v>1094</v>
      </c>
      <c r="T127" s="613"/>
      <c r="U127" s="613"/>
      <c r="V127" s="260"/>
      <c r="W127" s="260" t="s">
        <v>864</v>
      </c>
      <c r="X127" s="232"/>
      <c r="Y127" s="615"/>
      <c r="Z127" s="575"/>
      <c r="AA127" s="245"/>
      <c r="AB127" s="575"/>
      <c r="AC127" s="613"/>
      <c r="AD127" s="613">
        <v>1</v>
      </c>
      <c r="AE127" s="260" t="s">
        <v>864</v>
      </c>
    </row>
    <row r="128" spans="1:31" s="224" customFormat="1" ht="13.5" customHeight="1">
      <c r="A128" s="225">
        <v>120</v>
      </c>
      <c r="B128" s="217"/>
      <c r="C128" s="217"/>
      <c r="D128" s="217" t="s">
        <v>1412</v>
      </c>
      <c r="E128" s="241"/>
      <c r="F128" s="241"/>
      <c r="G128" s="241"/>
      <c r="H128" s="575"/>
      <c r="I128" s="618"/>
      <c r="J128" s="575"/>
      <c r="K128" s="611" t="s">
        <v>1413</v>
      </c>
      <c r="L128" s="575"/>
      <c r="M128" s="575"/>
      <c r="N128" s="575"/>
      <c r="O128" s="575"/>
      <c r="P128" s="612"/>
      <c r="Q128" s="575" t="s">
        <v>817</v>
      </c>
      <c r="R128" s="575" t="s">
        <v>864</v>
      </c>
      <c r="S128" s="379" t="s">
        <v>1413</v>
      </c>
      <c r="T128" s="613"/>
      <c r="U128" s="613"/>
      <c r="V128" s="260"/>
      <c r="W128" s="260" t="s">
        <v>864</v>
      </c>
      <c r="X128" s="232"/>
      <c r="Y128" s="615"/>
      <c r="Z128" s="615" t="s">
        <v>1414</v>
      </c>
      <c r="AA128" s="245"/>
      <c r="AB128" s="575"/>
      <c r="AC128" s="613"/>
      <c r="AD128" s="613">
        <v>1</v>
      </c>
      <c r="AE128" s="260"/>
    </row>
    <row r="129" spans="1:31" s="224" customFormat="1" ht="13.5" customHeight="1">
      <c r="A129" s="225">
        <v>121</v>
      </c>
      <c r="B129" s="217"/>
      <c r="C129" s="217"/>
      <c r="D129" s="217"/>
      <c r="E129" s="241" t="s">
        <v>1291</v>
      </c>
      <c r="F129" s="241"/>
      <c r="G129" s="241"/>
      <c r="H129" s="575" t="s">
        <v>1415</v>
      </c>
      <c r="I129" s="618"/>
      <c r="J129" s="575"/>
      <c r="K129" s="611" t="s">
        <v>1290</v>
      </c>
      <c r="L129" s="575"/>
      <c r="M129" s="575"/>
      <c r="N129" s="575"/>
      <c r="O129" s="575"/>
      <c r="P129" s="612"/>
      <c r="Q129" s="575" t="s">
        <v>820</v>
      </c>
      <c r="R129" s="575" t="s">
        <v>864</v>
      </c>
      <c r="S129" s="243" t="s">
        <v>1290</v>
      </c>
      <c r="T129" s="613"/>
      <c r="U129" s="613"/>
      <c r="V129" s="260"/>
      <c r="W129" s="260" t="s">
        <v>864</v>
      </c>
      <c r="X129" s="232"/>
      <c r="Y129" s="615"/>
      <c r="Z129" s="575"/>
      <c r="AA129" s="245"/>
      <c r="AB129" s="575"/>
      <c r="AC129" s="613"/>
      <c r="AD129" s="613">
        <v>1</v>
      </c>
      <c r="AE129" s="260"/>
    </row>
    <row r="130" spans="1:31" s="224" customFormat="1" ht="13.5" customHeight="1">
      <c r="A130" s="225">
        <v>122</v>
      </c>
      <c r="B130" s="217"/>
      <c r="C130" s="217"/>
      <c r="D130" s="217"/>
      <c r="E130" s="241" t="s">
        <v>1416</v>
      </c>
      <c r="F130" s="241"/>
      <c r="G130" s="241"/>
      <c r="H130" s="575" t="s">
        <v>1417</v>
      </c>
      <c r="I130" s="618">
        <v>10000668540</v>
      </c>
      <c r="J130" s="575"/>
      <c r="K130" s="611" t="s">
        <v>1205</v>
      </c>
      <c r="L130" s="575"/>
      <c r="M130" s="575"/>
      <c r="N130" s="575"/>
      <c r="O130" s="575"/>
      <c r="P130" s="612"/>
      <c r="Q130" s="575" t="s">
        <v>817</v>
      </c>
      <c r="R130" s="575"/>
      <c r="S130" s="575" t="s">
        <v>863</v>
      </c>
      <c r="T130" s="613"/>
      <c r="U130" s="374"/>
      <c r="V130" s="260"/>
      <c r="W130" s="260" t="s">
        <v>864</v>
      </c>
      <c r="X130" s="232"/>
      <c r="Y130" s="380" t="s">
        <v>1418</v>
      </c>
      <c r="Z130" s="575" t="s">
        <v>1419</v>
      </c>
      <c r="AA130" s="245"/>
      <c r="AB130" s="575"/>
      <c r="AC130" s="613"/>
      <c r="AD130" s="613">
        <v>1</v>
      </c>
      <c r="AE130" s="260"/>
    </row>
    <row r="131" spans="1:31" s="224" customFormat="1" ht="13.5" customHeight="1">
      <c r="A131" s="225">
        <v>123</v>
      </c>
      <c r="B131" s="217"/>
      <c r="C131" s="217"/>
      <c r="D131" s="241"/>
      <c r="E131" s="241" t="s">
        <v>1420</v>
      </c>
      <c r="F131" s="219" t="s">
        <v>1421</v>
      </c>
      <c r="G131" s="241"/>
      <c r="H131" s="575"/>
      <c r="I131" s="618"/>
      <c r="J131" s="575"/>
      <c r="K131" s="611" t="s">
        <v>1409</v>
      </c>
      <c r="L131" s="575"/>
      <c r="M131" s="575"/>
      <c r="N131" s="575"/>
      <c r="O131" s="575"/>
      <c r="P131" s="612"/>
      <c r="Q131" s="575" t="s">
        <v>817</v>
      </c>
      <c r="R131" s="575" t="s">
        <v>864</v>
      </c>
      <c r="S131" s="379" t="s">
        <v>1409</v>
      </c>
      <c r="T131" s="613"/>
      <c r="U131" s="613"/>
      <c r="V131" s="614"/>
      <c r="W131" s="614" t="s">
        <v>864</v>
      </c>
      <c r="X131" s="232"/>
      <c r="Y131" s="615"/>
      <c r="Z131" s="575"/>
      <c r="AA131" s="616"/>
      <c r="AB131" s="575"/>
      <c r="AC131" s="613"/>
      <c r="AD131" s="613">
        <v>1</v>
      </c>
      <c r="AE131" s="614"/>
    </row>
    <row r="132" spans="1:31" s="224" customFormat="1" ht="13.5" customHeight="1">
      <c r="A132" s="225">
        <v>124</v>
      </c>
      <c r="B132" s="217"/>
      <c r="C132" s="217"/>
      <c r="D132" s="217"/>
      <c r="E132" s="217" t="s">
        <v>1422</v>
      </c>
      <c r="F132" s="219" t="s">
        <v>1262</v>
      </c>
      <c r="G132" s="241"/>
      <c r="H132" s="575" t="s">
        <v>1404</v>
      </c>
      <c r="I132" s="618"/>
      <c r="J132" s="575"/>
      <c r="K132" s="611" t="s">
        <v>1251</v>
      </c>
      <c r="L132" s="575"/>
      <c r="M132" s="575"/>
      <c r="N132" s="575"/>
      <c r="O132" s="575"/>
      <c r="P132" s="612"/>
      <c r="Q132" s="575" t="s">
        <v>823</v>
      </c>
      <c r="R132" s="575" t="s">
        <v>864</v>
      </c>
      <c r="S132" s="243" t="s">
        <v>1251</v>
      </c>
      <c r="T132" s="613"/>
      <c r="U132" s="259"/>
      <c r="V132" s="260"/>
      <c r="W132" s="260" t="s">
        <v>864</v>
      </c>
      <c r="X132" s="232"/>
      <c r="Y132" s="615"/>
      <c r="Z132" s="575"/>
      <c r="AA132" s="245" t="s">
        <v>1252</v>
      </c>
      <c r="AB132" s="575"/>
      <c r="AC132" s="613"/>
      <c r="AD132" s="613">
        <v>1</v>
      </c>
      <c r="AE132" s="260"/>
    </row>
    <row r="133" spans="1:31" s="224" customFormat="1" ht="13.5" customHeight="1">
      <c r="A133" s="225">
        <v>125</v>
      </c>
      <c r="B133" s="217"/>
      <c r="C133" s="217" t="s">
        <v>1423</v>
      </c>
      <c r="D133" s="241"/>
      <c r="E133" s="241"/>
      <c r="F133" s="241"/>
      <c r="G133" s="241"/>
      <c r="H133" s="575" t="s">
        <v>1424</v>
      </c>
      <c r="I133" s="618"/>
      <c r="J133" s="575"/>
      <c r="K133" s="611" t="s">
        <v>1425</v>
      </c>
      <c r="L133" s="575"/>
      <c r="M133" s="575"/>
      <c r="N133" s="575"/>
      <c r="O133" s="575"/>
      <c r="P133" s="612"/>
      <c r="Q133" s="575" t="s">
        <v>817</v>
      </c>
      <c r="R133" s="575" t="s">
        <v>864</v>
      </c>
      <c r="S133" s="243" t="s">
        <v>1426</v>
      </c>
      <c r="T133" s="613"/>
      <c r="U133" s="613"/>
      <c r="V133" s="260" t="s">
        <v>864</v>
      </c>
      <c r="W133" s="260" t="s">
        <v>864</v>
      </c>
      <c r="X133" s="232"/>
      <c r="Y133" s="615"/>
      <c r="Z133" s="575"/>
      <c r="AA133" s="245"/>
      <c r="AB133" s="575"/>
      <c r="AC133" s="613"/>
      <c r="AD133" s="613">
        <v>1</v>
      </c>
      <c r="AE133" s="260" t="s">
        <v>864</v>
      </c>
    </row>
    <row r="134" spans="1:31" s="224" customFormat="1" ht="13.5" customHeight="1">
      <c r="A134" s="225">
        <v>126</v>
      </c>
      <c r="B134" s="217"/>
      <c r="C134" s="217"/>
      <c r="D134" s="217" t="s">
        <v>1427</v>
      </c>
      <c r="E134" s="241"/>
      <c r="F134" s="241"/>
      <c r="G134" s="241"/>
      <c r="H134" s="575" t="s">
        <v>1428</v>
      </c>
      <c r="I134" s="618"/>
      <c r="J134" s="575"/>
      <c r="K134" s="611" t="s">
        <v>1429</v>
      </c>
      <c r="L134" s="575"/>
      <c r="M134" s="575"/>
      <c r="N134" s="575"/>
      <c r="O134" s="575"/>
      <c r="P134" s="612"/>
      <c r="Q134" s="575" t="s">
        <v>817</v>
      </c>
      <c r="R134" s="575" t="s">
        <v>864</v>
      </c>
      <c r="S134" s="243" t="s">
        <v>1430</v>
      </c>
      <c r="T134" s="613"/>
      <c r="U134" s="259"/>
      <c r="V134" s="260"/>
      <c r="W134" s="260" t="s">
        <v>864</v>
      </c>
      <c r="X134" s="232"/>
      <c r="Y134" s="615"/>
      <c r="Z134" s="575"/>
      <c r="AA134" s="245"/>
      <c r="AB134" s="575"/>
      <c r="AC134" s="613"/>
      <c r="AD134" s="613">
        <v>1</v>
      </c>
      <c r="AE134" s="260"/>
    </row>
    <row r="135" spans="1:31" s="224" customFormat="1" ht="13.5" customHeight="1">
      <c r="A135" s="225">
        <v>127</v>
      </c>
      <c r="B135" s="217"/>
      <c r="C135" s="217"/>
      <c r="D135" s="217"/>
      <c r="E135" s="241" t="s">
        <v>1431</v>
      </c>
      <c r="F135" s="241"/>
      <c r="G135" s="241"/>
      <c r="H135" s="575" t="s">
        <v>1428</v>
      </c>
      <c r="I135" s="618"/>
      <c r="J135" s="575"/>
      <c r="K135" s="611" t="s">
        <v>888</v>
      </c>
      <c r="L135" s="575"/>
      <c r="M135" s="575"/>
      <c r="N135" s="575"/>
      <c r="O135" s="575"/>
      <c r="P135" s="612"/>
      <c r="Q135" s="575" t="s">
        <v>817</v>
      </c>
      <c r="R135" s="575"/>
      <c r="S135" s="575" t="s">
        <v>863</v>
      </c>
      <c r="T135" s="613" t="s">
        <v>864</v>
      </c>
      <c r="U135" s="261" t="s">
        <v>1432</v>
      </c>
      <c r="V135" s="614"/>
      <c r="W135" s="260" t="s">
        <v>864</v>
      </c>
      <c r="X135" s="232"/>
      <c r="Y135" s="266" t="s">
        <v>1433</v>
      </c>
      <c r="Z135" s="386" t="s">
        <v>1434</v>
      </c>
      <c r="AA135" s="245"/>
      <c r="AB135" s="575"/>
      <c r="AC135" s="613"/>
      <c r="AD135" s="613">
        <v>1</v>
      </c>
      <c r="AE135" s="260"/>
    </row>
    <row r="136" spans="1:31" s="224" customFormat="1" ht="13.5" customHeight="1">
      <c r="A136" s="225">
        <v>128</v>
      </c>
      <c r="B136" s="217"/>
      <c r="C136" s="217"/>
      <c r="D136" s="217"/>
      <c r="E136" s="241" t="s">
        <v>1435</v>
      </c>
      <c r="F136" s="241"/>
      <c r="G136" s="241"/>
      <c r="H136" s="575" t="s">
        <v>1436</v>
      </c>
      <c r="I136" s="618"/>
      <c r="J136" s="575"/>
      <c r="K136" s="611" t="s">
        <v>1437</v>
      </c>
      <c r="L136" s="575"/>
      <c r="M136" s="575"/>
      <c r="N136" s="575"/>
      <c r="O136" s="575"/>
      <c r="P136" s="612"/>
      <c r="Q136" s="575" t="s">
        <v>817</v>
      </c>
      <c r="R136" s="575"/>
      <c r="S136" s="575" t="s">
        <v>863</v>
      </c>
      <c r="T136" s="613" t="s">
        <v>864</v>
      </c>
      <c r="U136" s="261" t="s">
        <v>1438</v>
      </c>
      <c r="V136" s="614"/>
      <c r="W136" s="260" t="s">
        <v>864</v>
      </c>
      <c r="X136" s="232"/>
      <c r="Y136" s="266" t="s">
        <v>1439</v>
      </c>
      <c r="Z136" s="575"/>
      <c r="AA136" s="245"/>
      <c r="AB136" s="575"/>
      <c r="AC136" s="613"/>
      <c r="AD136" s="613">
        <v>1</v>
      </c>
      <c r="AE136" s="260"/>
    </row>
    <row r="137" spans="1:31" s="224" customFormat="1" ht="13.5" customHeight="1">
      <c r="A137" s="225">
        <v>129</v>
      </c>
      <c r="B137" s="217"/>
      <c r="C137" s="217"/>
      <c r="D137" s="217" t="s">
        <v>1440</v>
      </c>
      <c r="E137" s="241"/>
      <c r="F137" s="241"/>
      <c r="G137" s="241"/>
      <c r="H137" s="575" t="s">
        <v>1441</v>
      </c>
      <c r="I137" s="618"/>
      <c r="J137" s="575"/>
      <c r="K137" s="611" t="s">
        <v>1079</v>
      </c>
      <c r="L137" s="575"/>
      <c r="M137" s="575"/>
      <c r="N137" s="575"/>
      <c r="O137" s="575"/>
      <c r="P137" s="612"/>
      <c r="Q137" s="575" t="s">
        <v>817</v>
      </c>
      <c r="R137" s="575" t="s">
        <v>864</v>
      </c>
      <c r="S137" s="379" t="s">
        <v>1442</v>
      </c>
      <c r="T137" s="613"/>
      <c r="U137" s="613"/>
      <c r="V137" s="260"/>
      <c r="W137" s="260" t="s">
        <v>864</v>
      </c>
      <c r="X137" s="232"/>
      <c r="Y137" s="615"/>
      <c r="Z137" s="575"/>
      <c r="AA137" s="245"/>
      <c r="AB137" s="575"/>
      <c r="AC137" s="613"/>
      <c r="AD137" s="613">
        <v>1</v>
      </c>
      <c r="AE137" s="260"/>
    </row>
    <row r="138" spans="1:31" s="224" customFormat="1" ht="13.5" customHeight="1">
      <c r="A138" s="225">
        <v>130</v>
      </c>
      <c r="B138" s="217"/>
      <c r="C138" s="217"/>
      <c r="D138" s="217"/>
      <c r="E138" s="241" t="s">
        <v>1443</v>
      </c>
      <c r="F138" s="241"/>
      <c r="G138" s="241"/>
      <c r="H138" s="575" t="s">
        <v>1441</v>
      </c>
      <c r="I138" s="618" t="s">
        <v>1444</v>
      </c>
      <c r="J138" s="575"/>
      <c r="K138" s="611" t="s">
        <v>1067</v>
      </c>
      <c r="L138" s="575"/>
      <c r="M138" s="575"/>
      <c r="N138" s="575"/>
      <c r="O138" s="575"/>
      <c r="P138" s="612"/>
      <c r="Q138" s="575" t="s">
        <v>817</v>
      </c>
      <c r="R138" s="575"/>
      <c r="S138" s="575" t="s">
        <v>863</v>
      </c>
      <c r="T138" s="613"/>
      <c r="U138" s="613"/>
      <c r="V138" s="260"/>
      <c r="W138" s="260" t="s">
        <v>864</v>
      </c>
      <c r="X138" s="232"/>
      <c r="Y138" s="380" t="s">
        <v>1445</v>
      </c>
      <c r="Z138" s="575"/>
      <c r="AA138" s="245"/>
      <c r="AB138" s="575"/>
      <c r="AC138" s="613"/>
      <c r="AD138" s="613">
        <v>1</v>
      </c>
      <c r="AE138" s="260"/>
    </row>
    <row r="139" spans="1:31" s="224" customFormat="1" ht="13.5" customHeight="1">
      <c r="A139" s="225">
        <v>131</v>
      </c>
      <c r="B139" s="217"/>
      <c r="C139" s="217"/>
      <c r="D139" s="217"/>
      <c r="E139" s="241" t="s">
        <v>1446</v>
      </c>
      <c r="F139" s="241"/>
      <c r="G139" s="241"/>
      <c r="H139" s="575" t="s">
        <v>1447</v>
      </c>
      <c r="I139" s="618" t="s">
        <v>1448</v>
      </c>
      <c r="J139" s="575"/>
      <c r="K139" s="611" t="s">
        <v>1449</v>
      </c>
      <c r="L139" s="575"/>
      <c r="M139" s="575"/>
      <c r="N139" s="575"/>
      <c r="O139" s="575"/>
      <c r="P139" s="612"/>
      <c r="Q139" s="575" t="s">
        <v>817</v>
      </c>
      <c r="R139" s="575"/>
      <c r="S139" s="575" t="s">
        <v>863</v>
      </c>
      <c r="T139" s="613" t="s">
        <v>864</v>
      </c>
      <c r="U139" s="613"/>
      <c r="V139" s="260"/>
      <c r="W139" s="260" t="s">
        <v>864</v>
      </c>
      <c r="X139" s="232"/>
      <c r="Y139" s="380" t="s">
        <v>1450</v>
      </c>
      <c r="Z139" s="575"/>
      <c r="AA139" s="245"/>
      <c r="AB139" s="575"/>
      <c r="AC139" s="613"/>
      <c r="AD139" s="613">
        <v>1</v>
      </c>
      <c r="AE139" s="260"/>
    </row>
    <row r="140" spans="1:31" s="224" customFormat="1" ht="13.5" customHeight="1">
      <c r="A140" s="225">
        <v>132</v>
      </c>
      <c r="B140" s="217"/>
      <c r="C140" s="217"/>
      <c r="D140" s="217" t="s">
        <v>1451</v>
      </c>
      <c r="E140" s="241"/>
      <c r="F140" s="241"/>
      <c r="G140" s="241"/>
      <c r="H140" s="575" t="s">
        <v>1452</v>
      </c>
      <c r="I140" s="618"/>
      <c r="J140" s="575"/>
      <c r="K140" s="611" t="s">
        <v>1453</v>
      </c>
      <c r="L140" s="575"/>
      <c r="M140" s="575"/>
      <c r="N140" s="575"/>
      <c r="O140" s="575"/>
      <c r="P140" s="612"/>
      <c r="Q140" s="575" t="s">
        <v>817</v>
      </c>
      <c r="R140" s="575" t="s">
        <v>864</v>
      </c>
      <c r="S140" s="243" t="s">
        <v>1454</v>
      </c>
      <c r="T140" s="613"/>
      <c r="U140" s="259"/>
      <c r="V140" s="260" t="s">
        <v>864</v>
      </c>
      <c r="W140" s="260" t="s">
        <v>864</v>
      </c>
      <c r="X140" s="232"/>
      <c r="Y140" s="615"/>
      <c r="Z140" s="575"/>
      <c r="AA140" s="245"/>
      <c r="AB140" s="575"/>
      <c r="AC140" s="613"/>
      <c r="AD140" s="613">
        <v>1</v>
      </c>
      <c r="AE140" s="260" t="s">
        <v>864</v>
      </c>
    </row>
    <row r="141" spans="1:31" s="224" customFormat="1" ht="13.5" customHeight="1">
      <c r="A141" s="225">
        <v>133</v>
      </c>
      <c r="B141" s="217"/>
      <c r="C141" s="217"/>
      <c r="D141" s="217"/>
      <c r="E141" s="241" t="s">
        <v>1455</v>
      </c>
      <c r="F141" s="241"/>
      <c r="G141" s="241"/>
      <c r="H141" s="575" t="s">
        <v>1456</v>
      </c>
      <c r="I141" s="618" t="s">
        <v>1121</v>
      </c>
      <c r="J141" s="575"/>
      <c r="K141" s="611" t="s">
        <v>1457</v>
      </c>
      <c r="L141" s="575"/>
      <c r="M141" s="575"/>
      <c r="N141" s="575"/>
      <c r="O141" s="575"/>
      <c r="P141" s="612"/>
      <c r="Q141" s="575" t="s">
        <v>817</v>
      </c>
      <c r="R141" s="575"/>
      <c r="S141" s="575" t="s">
        <v>863</v>
      </c>
      <c r="T141" s="613"/>
      <c r="U141" s="613"/>
      <c r="V141" s="260"/>
      <c r="W141" s="260" t="s">
        <v>864</v>
      </c>
      <c r="X141" s="232"/>
      <c r="Y141" s="615"/>
      <c r="Z141" s="575"/>
      <c r="AA141" s="245"/>
      <c r="AB141" s="575"/>
      <c r="AC141" s="613"/>
      <c r="AD141" s="613">
        <v>1</v>
      </c>
      <c r="AE141" s="260"/>
    </row>
    <row r="142" spans="1:31" s="224" customFormat="1" ht="13.5" customHeight="1">
      <c r="A142" s="225">
        <v>134</v>
      </c>
      <c r="B142" s="217"/>
      <c r="C142" s="217"/>
      <c r="D142" s="217"/>
      <c r="E142" s="241" t="s">
        <v>1458</v>
      </c>
      <c r="F142" s="241"/>
      <c r="G142" s="241"/>
      <c r="H142" s="575" t="s">
        <v>1459</v>
      </c>
      <c r="I142" s="618"/>
      <c r="J142" s="575"/>
      <c r="K142" s="611" t="s">
        <v>1460</v>
      </c>
      <c r="L142" s="575"/>
      <c r="M142" s="575"/>
      <c r="N142" s="575"/>
      <c r="O142" s="575"/>
      <c r="P142" s="612"/>
      <c r="Q142" s="575" t="s">
        <v>817</v>
      </c>
      <c r="R142" s="575"/>
      <c r="S142" s="575" t="s">
        <v>863</v>
      </c>
      <c r="T142" s="613"/>
      <c r="U142" s="613"/>
      <c r="V142" s="260"/>
      <c r="W142" s="260" t="s">
        <v>864</v>
      </c>
      <c r="X142" s="232"/>
      <c r="Y142" s="615"/>
      <c r="Z142" s="575"/>
      <c r="AA142" s="245"/>
      <c r="AB142" s="575"/>
      <c r="AC142" s="613"/>
      <c r="AD142" s="613">
        <v>1</v>
      </c>
      <c r="AE142" s="260"/>
    </row>
    <row r="143" spans="1:31" s="224" customFormat="1" ht="13.5" customHeight="1">
      <c r="A143" s="225">
        <v>135</v>
      </c>
      <c r="B143" s="217"/>
      <c r="C143" s="217"/>
      <c r="D143" s="217"/>
      <c r="E143" s="241" t="s">
        <v>1461</v>
      </c>
      <c r="F143" s="241"/>
      <c r="G143" s="241"/>
      <c r="H143" s="575" t="s">
        <v>1462</v>
      </c>
      <c r="I143" s="618"/>
      <c r="J143" s="575"/>
      <c r="K143" s="611" t="s">
        <v>1463</v>
      </c>
      <c r="L143" s="575"/>
      <c r="M143" s="575"/>
      <c r="N143" s="575"/>
      <c r="O143" s="575"/>
      <c r="P143" s="612"/>
      <c r="Q143" s="575" t="s">
        <v>817</v>
      </c>
      <c r="R143" s="575"/>
      <c r="S143" s="575" t="s">
        <v>863</v>
      </c>
      <c r="T143" s="613"/>
      <c r="U143" s="613"/>
      <c r="V143" s="260"/>
      <c r="W143" s="260" t="s">
        <v>864</v>
      </c>
      <c r="X143" s="232"/>
      <c r="Y143" s="615"/>
      <c r="Z143" s="575"/>
      <c r="AA143" s="245"/>
      <c r="AB143" s="575"/>
      <c r="AC143" s="613"/>
      <c r="AD143" s="613">
        <v>1</v>
      </c>
      <c r="AE143" s="260"/>
    </row>
    <row r="144" spans="1:31" s="224" customFormat="1" ht="13.5" customHeight="1">
      <c r="A144" s="225">
        <v>136</v>
      </c>
      <c r="B144" s="217"/>
      <c r="C144" s="217"/>
      <c r="D144" s="217"/>
      <c r="E144" s="241" t="s">
        <v>1464</v>
      </c>
      <c r="F144" s="241"/>
      <c r="G144" s="241"/>
      <c r="H144" s="575" t="s">
        <v>1465</v>
      </c>
      <c r="I144" s="618"/>
      <c r="J144" s="575"/>
      <c r="K144" s="611" t="s">
        <v>1466</v>
      </c>
      <c r="L144" s="575"/>
      <c r="M144" s="575"/>
      <c r="N144" s="575"/>
      <c r="O144" s="575"/>
      <c r="P144" s="612"/>
      <c r="Q144" s="575" t="s">
        <v>817</v>
      </c>
      <c r="R144" s="575"/>
      <c r="S144" s="575" t="s">
        <v>1467</v>
      </c>
      <c r="T144" s="613"/>
      <c r="U144" s="259"/>
      <c r="V144" s="260" t="s">
        <v>864</v>
      </c>
      <c r="W144" s="260" t="s">
        <v>864</v>
      </c>
      <c r="X144" s="232"/>
      <c r="Y144" s="615"/>
      <c r="Z144" s="575"/>
      <c r="AA144" s="245"/>
      <c r="AB144" s="575"/>
      <c r="AC144" s="613"/>
      <c r="AD144" s="613">
        <v>1</v>
      </c>
      <c r="AE144" s="260" t="s">
        <v>864</v>
      </c>
    </row>
    <row r="145" spans="1:31" s="224" customFormat="1" ht="13.5" customHeight="1">
      <c r="A145" s="225">
        <v>137</v>
      </c>
      <c r="B145" s="217"/>
      <c r="C145" s="217"/>
      <c r="D145" s="217"/>
      <c r="E145" s="241" t="s">
        <v>1468</v>
      </c>
      <c r="F145" s="241"/>
      <c r="G145" s="241"/>
      <c r="H145" s="575" t="s">
        <v>1469</v>
      </c>
      <c r="I145" s="618" t="s">
        <v>698</v>
      </c>
      <c r="J145" s="575"/>
      <c r="K145" s="611" t="s">
        <v>1470</v>
      </c>
      <c r="L145" s="575"/>
      <c r="M145" s="575"/>
      <c r="N145" s="575"/>
      <c r="O145" s="575"/>
      <c r="P145" s="612"/>
      <c r="Q145" s="575" t="s">
        <v>817</v>
      </c>
      <c r="R145" s="575"/>
      <c r="S145" s="575" t="s">
        <v>863</v>
      </c>
      <c r="T145" s="613" t="s">
        <v>864</v>
      </c>
      <c r="U145" s="613"/>
      <c r="V145" s="260" t="s">
        <v>864</v>
      </c>
      <c r="W145" s="260" t="s">
        <v>864</v>
      </c>
      <c r="X145" s="232"/>
      <c r="Y145" s="387" t="s">
        <v>1471</v>
      </c>
      <c r="Z145" s="575"/>
      <c r="AA145" s="245"/>
      <c r="AB145" s="575"/>
      <c r="AC145" s="613"/>
      <c r="AD145" s="613">
        <v>1</v>
      </c>
      <c r="AE145" s="260" t="s">
        <v>864</v>
      </c>
    </row>
    <row r="146" spans="1:31" s="224" customFormat="1" ht="13.5" customHeight="1">
      <c r="A146" s="225">
        <v>138</v>
      </c>
      <c r="B146" s="217"/>
      <c r="C146" s="217"/>
      <c r="D146" s="217"/>
      <c r="E146" s="241" t="s">
        <v>1472</v>
      </c>
      <c r="F146" s="241"/>
      <c r="G146" s="241"/>
      <c r="H146" s="575" t="s">
        <v>1473</v>
      </c>
      <c r="I146" s="618"/>
      <c r="J146" s="575"/>
      <c r="K146" s="611" t="s">
        <v>1474</v>
      </c>
      <c r="L146" s="575"/>
      <c r="M146" s="575"/>
      <c r="N146" s="575"/>
      <c r="O146" s="575"/>
      <c r="P146" s="612"/>
      <c r="Q146" s="575" t="s">
        <v>817</v>
      </c>
      <c r="R146" s="575"/>
      <c r="S146" s="575" t="s">
        <v>1079</v>
      </c>
      <c r="T146" s="613"/>
      <c r="U146" s="381"/>
      <c r="V146" s="260"/>
      <c r="W146" s="260" t="s">
        <v>864</v>
      </c>
      <c r="X146" s="232"/>
      <c r="Y146" s="380" t="s">
        <v>1475</v>
      </c>
      <c r="Z146" s="575" t="s">
        <v>1476</v>
      </c>
      <c r="AA146" s="245"/>
      <c r="AB146" s="575"/>
      <c r="AC146" s="613"/>
      <c r="AD146" s="613">
        <v>1</v>
      </c>
      <c r="AE146" s="260"/>
    </row>
    <row r="147" spans="1:31" s="224" customFormat="1" ht="13.5" customHeight="1">
      <c r="A147" s="225">
        <v>139</v>
      </c>
      <c r="B147" s="217"/>
      <c r="C147" s="217"/>
      <c r="D147" s="217" t="s">
        <v>1477</v>
      </c>
      <c r="E147" s="241" t="s">
        <v>1478</v>
      </c>
      <c r="F147" s="241"/>
      <c r="G147" s="241"/>
      <c r="H147" s="575" t="s">
        <v>1479</v>
      </c>
      <c r="I147" s="618"/>
      <c r="J147" s="575"/>
      <c r="K147" s="611" t="s">
        <v>1480</v>
      </c>
      <c r="L147" s="575"/>
      <c r="M147" s="575"/>
      <c r="N147" s="575"/>
      <c r="O147" s="575"/>
      <c r="P147" s="612"/>
      <c r="Q147" s="575" t="s">
        <v>817</v>
      </c>
      <c r="R147" s="575" t="s">
        <v>864</v>
      </c>
      <c r="S147" s="243" t="s">
        <v>1290</v>
      </c>
      <c r="T147" s="613"/>
      <c r="U147" s="613"/>
      <c r="V147" s="260" t="s">
        <v>864</v>
      </c>
      <c r="W147" s="260" t="s">
        <v>864</v>
      </c>
      <c r="X147" s="232"/>
      <c r="Y147" s="615"/>
      <c r="Z147" s="575"/>
      <c r="AA147" s="245"/>
      <c r="AB147" s="575"/>
      <c r="AC147" s="613"/>
      <c r="AD147" s="613">
        <v>1</v>
      </c>
      <c r="AE147" s="260" t="s">
        <v>864</v>
      </c>
    </row>
    <row r="148" spans="1:31" s="224" customFormat="1" ht="13.5" customHeight="1">
      <c r="A148" s="225">
        <v>140</v>
      </c>
      <c r="B148" s="217"/>
      <c r="C148" s="219" t="s">
        <v>993</v>
      </c>
      <c r="D148" s="241" t="s">
        <v>985</v>
      </c>
      <c r="E148" s="241"/>
      <c r="F148" s="241"/>
      <c r="G148" s="241"/>
      <c r="H148" s="575" t="s">
        <v>1481</v>
      </c>
      <c r="I148" s="611"/>
      <c r="J148" s="575"/>
      <c r="K148" s="575" t="s">
        <v>995</v>
      </c>
      <c r="L148" s="575"/>
      <c r="M148" s="575"/>
      <c r="N148" s="575"/>
      <c r="O148" s="575"/>
      <c r="P148" s="612"/>
      <c r="Q148" s="575" t="s">
        <v>817</v>
      </c>
      <c r="R148" s="575" t="s">
        <v>864</v>
      </c>
      <c r="S148" s="243" t="s">
        <v>974</v>
      </c>
      <c r="T148" s="613"/>
      <c r="U148" s="575"/>
      <c r="V148" s="614"/>
      <c r="W148" s="260" t="s">
        <v>864</v>
      </c>
      <c r="X148" s="232"/>
      <c r="Y148" s="387" t="s">
        <v>1482</v>
      </c>
      <c r="Z148" s="575" t="s">
        <v>975</v>
      </c>
      <c r="AA148" s="616"/>
      <c r="AB148" s="575"/>
      <c r="AC148" s="613"/>
      <c r="AD148" s="613">
        <v>1</v>
      </c>
      <c r="AE148" s="260" t="s">
        <v>864</v>
      </c>
    </row>
    <row r="149" spans="1:31" s="158" customFormat="1" ht="12.75" customHeight="1">
      <c r="A149" s="225">
        <v>141</v>
      </c>
      <c r="B149" s="217"/>
      <c r="C149" s="219" t="s">
        <v>1483</v>
      </c>
      <c r="D149" s="241"/>
      <c r="E149" s="241"/>
      <c r="F149" s="241"/>
      <c r="G149" s="241"/>
      <c r="H149" s="263"/>
      <c r="I149" s="264"/>
      <c r="J149" s="263"/>
      <c r="K149" s="611" t="s">
        <v>1107</v>
      </c>
      <c r="L149" s="575"/>
      <c r="M149" s="575"/>
      <c r="N149" s="575"/>
      <c r="O149" s="575"/>
      <c r="P149" s="612"/>
      <c r="Q149" s="575" t="s">
        <v>817</v>
      </c>
      <c r="R149" s="575" t="s">
        <v>864</v>
      </c>
      <c r="S149" s="379" t="s">
        <v>1484</v>
      </c>
      <c r="T149" s="268"/>
      <c r="U149" s="263"/>
      <c r="V149" s="265"/>
      <c r="W149" s="260" t="s">
        <v>864</v>
      </c>
      <c r="X149" s="232"/>
      <c r="Y149" s="380" t="s">
        <v>1485</v>
      </c>
      <c r="Z149" s="263"/>
      <c r="AA149" s="267" t="s">
        <v>1486</v>
      </c>
      <c r="AB149" s="263"/>
      <c r="AC149" s="613"/>
      <c r="AD149" s="613">
        <v>1</v>
      </c>
      <c r="AE149" s="260" t="s">
        <v>864</v>
      </c>
    </row>
    <row r="150" spans="1:31" s="224" customFormat="1" ht="13.5" customHeight="1">
      <c r="A150" s="225">
        <v>142</v>
      </c>
      <c r="B150" s="217"/>
      <c r="C150" s="219"/>
      <c r="D150" s="241" t="s">
        <v>1487</v>
      </c>
      <c r="E150" s="241"/>
      <c r="F150" s="241"/>
      <c r="G150" s="241"/>
      <c r="H150" s="575" t="s">
        <v>1488</v>
      </c>
      <c r="I150" s="611">
        <v>31</v>
      </c>
      <c r="J150" s="575"/>
      <c r="K150" s="611" t="s">
        <v>1489</v>
      </c>
      <c r="L150" s="575"/>
      <c r="M150" s="575"/>
      <c r="N150" s="575"/>
      <c r="O150" s="575"/>
      <c r="P150" s="612"/>
      <c r="Q150" s="575" t="s">
        <v>817</v>
      </c>
      <c r="R150" s="575"/>
      <c r="S150" s="575" t="s">
        <v>1368</v>
      </c>
      <c r="T150" s="613"/>
      <c r="U150" s="575"/>
      <c r="V150" s="614"/>
      <c r="W150" s="260" t="s">
        <v>864</v>
      </c>
      <c r="X150" s="232"/>
      <c r="Y150" s="615"/>
      <c r="Z150" s="575"/>
      <c r="AA150" s="616"/>
      <c r="AB150" s="575"/>
      <c r="AC150" s="613"/>
      <c r="AD150" s="613">
        <v>1</v>
      </c>
      <c r="AE150" s="260" t="s">
        <v>864</v>
      </c>
    </row>
    <row r="151" spans="1:31" s="224" customFormat="1" ht="13.5" customHeight="1">
      <c r="A151" s="225">
        <v>143</v>
      </c>
      <c r="B151" s="217"/>
      <c r="C151" s="219"/>
      <c r="D151" s="241" t="s">
        <v>1490</v>
      </c>
      <c r="E151" s="241"/>
      <c r="F151" s="241"/>
      <c r="G151" s="241"/>
      <c r="H151" s="575" t="s">
        <v>1491</v>
      </c>
      <c r="I151" s="611">
        <v>109</v>
      </c>
      <c r="J151" s="575"/>
      <c r="K151" s="611" t="s">
        <v>1169</v>
      </c>
      <c r="L151" s="575"/>
      <c r="M151" s="575"/>
      <c r="N151" s="575"/>
      <c r="O151" s="575"/>
      <c r="P151" s="612"/>
      <c r="Q151" s="575" t="s">
        <v>817</v>
      </c>
      <c r="R151" s="575"/>
      <c r="S151" s="575" t="s">
        <v>1368</v>
      </c>
      <c r="T151" s="613"/>
      <c r="U151" s="575"/>
      <c r="V151" s="614"/>
      <c r="W151" s="260" t="s">
        <v>864</v>
      </c>
      <c r="X151" s="232"/>
      <c r="Y151" s="615"/>
      <c r="Z151" s="575"/>
      <c r="AA151" s="616"/>
      <c r="AB151" s="575"/>
      <c r="AC151" s="613"/>
      <c r="AD151" s="613">
        <v>1</v>
      </c>
      <c r="AE151" s="260" t="s">
        <v>864</v>
      </c>
    </row>
    <row r="152" spans="1:31" s="224" customFormat="1" ht="12.75" customHeight="1">
      <c r="A152" s="225">
        <v>144</v>
      </c>
      <c r="B152" s="217"/>
      <c r="C152" s="219"/>
      <c r="D152" s="241" t="s">
        <v>1492</v>
      </c>
      <c r="E152" s="241"/>
      <c r="F152" s="241"/>
      <c r="G152" s="241"/>
      <c r="H152" s="575" t="s">
        <v>1493</v>
      </c>
      <c r="I152" s="611" t="s">
        <v>1494</v>
      </c>
      <c r="J152" s="575"/>
      <c r="K152" s="611" t="s">
        <v>1495</v>
      </c>
      <c r="L152" s="575"/>
      <c r="M152" s="575"/>
      <c r="N152" s="575"/>
      <c r="O152" s="575"/>
      <c r="P152" s="612"/>
      <c r="Q152" s="575" t="s">
        <v>817</v>
      </c>
      <c r="R152" s="575"/>
      <c r="S152" s="619" t="s">
        <v>863</v>
      </c>
      <c r="T152" s="282"/>
      <c r="U152" s="575" t="s">
        <v>1613</v>
      </c>
      <c r="V152" s="614"/>
      <c r="W152" s="260" t="s">
        <v>864</v>
      </c>
      <c r="X152" s="232"/>
      <c r="Y152" s="380"/>
      <c r="Z152" s="575"/>
      <c r="AA152" s="616"/>
      <c r="AB152" s="575"/>
      <c r="AC152" s="613"/>
      <c r="AD152" s="613">
        <v>1</v>
      </c>
      <c r="AE152" s="260" t="s">
        <v>864</v>
      </c>
    </row>
    <row r="153" spans="1:31" s="224" customFormat="1" ht="13.5" customHeight="1">
      <c r="A153" s="225">
        <v>145</v>
      </c>
      <c r="B153" s="217"/>
      <c r="C153" s="239"/>
      <c r="D153" s="241" t="s">
        <v>1497</v>
      </c>
      <c r="E153" s="241"/>
      <c r="F153" s="241"/>
      <c r="G153" s="241"/>
      <c r="H153" s="575"/>
      <c r="I153" s="611" t="s">
        <v>1498</v>
      </c>
      <c r="J153" s="575"/>
      <c r="K153" s="611" t="s">
        <v>1499</v>
      </c>
      <c r="L153" s="575"/>
      <c r="M153" s="575"/>
      <c r="N153" s="575"/>
      <c r="O153" s="575"/>
      <c r="P153" s="612"/>
      <c r="Q153" s="575" t="s">
        <v>817</v>
      </c>
      <c r="R153" s="575"/>
      <c r="S153" s="575" t="s">
        <v>863</v>
      </c>
      <c r="T153" s="613" t="s">
        <v>864</v>
      </c>
      <c r="U153" s="255"/>
      <c r="V153" s="614"/>
      <c r="W153" s="260" t="s">
        <v>864</v>
      </c>
      <c r="X153" s="232"/>
      <c r="Y153" s="387" t="s">
        <v>1500</v>
      </c>
      <c r="Z153" s="575"/>
      <c r="AA153" s="616"/>
      <c r="AB153" s="575"/>
      <c r="AC153" s="613"/>
      <c r="AD153" s="613">
        <v>1</v>
      </c>
      <c r="AE153" s="260" t="s">
        <v>864</v>
      </c>
    </row>
    <row r="154" spans="1:31" s="224" customFormat="1" ht="13.5" customHeight="1">
      <c r="A154" s="225">
        <v>146</v>
      </c>
      <c r="B154" s="217"/>
      <c r="C154" s="219" t="s">
        <v>1501</v>
      </c>
      <c r="D154" s="241"/>
      <c r="E154" s="241"/>
      <c r="F154" s="241"/>
      <c r="G154" s="241"/>
      <c r="H154" s="575"/>
      <c r="I154" s="611"/>
      <c r="J154" s="575"/>
      <c r="K154" s="611" t="s">
        <v>1502</v>
      </c>
      <c r="L154" s="575"/>
      <c r="M154" s="575"/>
      <c r="N154" s="575"/>
      <c r="O154" s="575"/>
      <c r="P154" s="612"/>
      <c r="Q154" s="575" t="s">
        <v>817</v>
      </c>
      <c r="R154" s="575" t="s">
        <v>864</v>
      </c>
      <c r="S154" s="379" t="s">
        <v>1502</v>
      </c>
      <c r="T154" s="613"/>
      <c r="U154" s="575"/>
      <c r="V154" s="614"/>
      <c r="W154" s="260" t="s">
        <v>864</v>
      </c>
      <c r="X154" s="232"/>
      <c r="Y154" s="615"/>
      <c r="Z154" s="575"/>
      <c r="AA154" s="616"/>
      <c r="AB154" s="575"/>
      <c r="AC154" s="613"/>
      <c r="AD154" s="613">
        <v>1</v>
      </c>
      <c r="AE154" s="260" t="s">
        <v>864</v>
      </c>
    </row>
    <row r="155" spans="1:31" s="224" customFormat="1" ht="13.5" customHeight="1">
      <c r="A155" s="225">
        <v>147</v>
      </c>
      <c r="B155" s="217"/>
      <c r="C155" s="219"/>
      <c r="D155" s="241" t="s">
        <v>1503</v>
      </c>
      <c r="E155" s="241" t="s">
        <v>985</v>
      </c>
      <c r="F155" s="241"/>
      <c r="G155" s="241"/>
      <c r="H155" s="575" t="s">
        <v>1504</v>
      </c>
      <c r="I155" s="611"/>
      <c r="J155" s="575"/>
      <c r="K155" s="611" t="s">
        <v>1505</v>
      </c>
      <c r="L155" s="575"/>
      <c r="M155" s="575"/>
      <c r="N155" s="575"/>
      <c r="O155" s="575"/>
      <c r="P155" s="612"/>
      <c r="Q155" s="575" t="s">
        <v>817</v>
      </c>
      <c r="R155" s="575" t="s">
        <v>864</v>
      </c>
      <c r="S155" s="379" t="s">
        <v>974</v>
      </c>
      <c r="T155" s="613" t="s">
        <v>864</v>
      </c>
      <c r="U155" s="575"/>
      <c r="V155" s="614"/>
      <c r="W155" s="260" t="s">
        <v>864</v>
      </c>
      <c r="X155" s="232"/>
      <c r="Y155" s="615" t="s">
        <v>1506</v>
      </c>
      <c r="Z155" s="575"/>
      <c r="AA155" s="616"/>
      <c r="AB155" s="575"/>
      <c r="AC155" s="613"/>
      <c r="AD155" s="613">
        <v>1</v>
      </c>
      <c r="AE155" s="260" t="s">
        <v>864</v>
      </c>
    </row>
    <row r="156" spans="1:31" s="224" customFormat="1" ht="14.25" customHeight="1">
      <c r="A156" s="225">
        <v>148</v>
      </c>
      <c r="B156" s="217"/>
      <c r="C156" s="219"/>
      <c r="D156" s="241" t="s">
        <v>1507</v>
      </c>
      <c r="E156" s="241" t="s">
        <v>985</v>
      </c>
      <c r="F156" s="241"/>
      <c r="G156" s="241"/>
      <c r="H156" s="575" t="s">
        <v>1508</v>
      </c>
      <c r="I156" s="611"/>
      <c r="J156" s="575"/>
      <c r="K156" s="611" t="s">
        <v>1509</v>
      </c>
      <c r="L156" s="575"/>
      <c r="M156" s="575"/>
      <c r="N156" s="575"/>
      <c r="O156" s="575"/>
      <c r="P156" s="612"/>
      <c r="Q156" s="575" t="s">
        <v>823</v>
      </c>
      <c r="R156" s="575" t="s">
        <v>864</v>
      </c>
      <c r="S156" s="379" t="s">
        <v>974</v>
      </c>
      <c r="T156" s="268" t="s">
        <v>864</v>
      </c>
      <c r="U156" s="255"/>
      <c r="V156" s="614"/>
      <c r="W156" s="260" t="s">
        <v>864</v>
      </c>
      <c r="X156" s="232"/>
      <c r="Y156" s="615" t="s">
        <v>1506</v>
      </c>
      <c r="Z156" s="575"/>
      <c r="AA156" s="616"/>
      <c r="AB156" s="575"/>
      <c r="AC156" s="613"/>
      <c r="AD156" s="613">
        <v>1</v>
      </c>
      <c r="AE156" s="260" t="s">
        <v>864</v>
      </c>
    </row>
    <row r="157" spans="1:31" s="224" customFormat="1" ht="13.5" customHeight="1">
      <c r="A157" s="225">
        <v>149</v>
      </c>
      <c r="B157" s="217"/>
      <c r="C157" s="219" t="s">
        <v>1510</v>
      </c>
      <c r="D157" s="241" t="s">
        <v>985</v>
      </c>
      <c r="E157" s="241"/>
      <c r="F157" s="241"/>
      <c r="G157" s="241"/>
      <c r="H157" s="575" t="s">
        <v>1511</v>
      </c>
      <c r="I157" s="611"/>
      <c r="J157" s="575"/>
      <c r="K157" s="611" t="s">
        <v>1512</v>
      </c>
      <c r="L157" s="575"/>
      <c r="M157" s="575"/>
      <c r="N157" s="575"/>
      <c r="O157" s="575"/>
      <c r="P157" s="612"/>
      <c r="Q157" s="575" t="s">
        <v>817</v>
      </c>
      <c r="R157" s="575" t="s">
        <v>864</v>
      </c>
      <c r="S157" s="379" t="s">
        <v>974</v>
      </c>
      <c r="T157" s="268" t="s">
        <v>864</v>
      </c>
      <c r="U157" s="575"/>
      <c r="V157" s="614"/>
      <c r="W157" s="614" t="s">
        <v>864</v>
      </c>
      <c r="X157" s="232"/>
      <c r="Y157" s="615" t="s">
        <v>1506</v>
      </c>
      <c r="Z157" s="575"/>
      <c r="AA157" s="616"/>
      <c r="AB157" s="575"/>
      <c r="AC157" s="613"/>
      <c r="AD157" s="613">
        <v>1</v>
      </c>
      <c r="AE157" s="614" t="s">
        <v>864</v>
      </c>
    </row>
    <row r="158" spans="1:31" s="224" customFormat="1" ht="13.5" customHeight="1">
      <c r="A158" s="225">
        <v>150</v>
      </c>
      <c r="B158" s="219" t="s">
        <v>1614</v>
      </c>
      <c r="C158" s="241"/>
      <c r="D158" s="241"/>
      <c r="E158" s="241"/>
      <c r="F158" s="241"/>
      <c r="G158" s="241"/>
      <c r="H158" s="575" t="s">
        <v>1514</v>
      </c>
      <c r="I158" s="611"/>
      <c r="J158" s="575"/>
      <c r="K158" s="611" t="s">
        <v>1515</v>
      </c>
      <c r="L158" s="575"/>
      <c r="M158" s="575"/>
      <c r="N158" s="575"/>
      <c r="O158" s="575"/>
      <c r="P158" s="612"/>
      <c r="Q158" s="623" t="s">
        <v>823</v>
      </c>
      <c r="R158" s="575" t="s">
        <v>864</v>
      </c>
      <c r="S158" s="379" t="s">
        <v>1515</v>
      </c>
      <c r="T158" s="613"/>
      <c r="U158" s="575"/>
      <c r="V158" s="614"/>
      <c r="W158" s="260" t="s">
        <v>864</v>
      </c>
      <c r="X158" s="232"/>
      <c r="Y158" s="615" t="s">
        <v>1516</v>
      </c>
      <c r="Z158" s="575"/>
      <c r="AA158" s="616"/>
      <c r="AB158" s="575"/>
      <c r="AC158" s="613"/>
      <c r="AD158" s="613">
        <v>1</v>
      </c>
      <c r="AE158" s="260" t="s">
        <v>864</v>
      </c>
    </row>
    <row r="159" spans="1:31" s="224" customFormat="1" ht="13.5" customHeight="1">
      <c r="A159" s="225">
        <v>151</v>
      </c>
      <c r="B159" s="217"/>
      <c r="C159" s="217" t="s">
        <v>1393</v>
      </c>
      <c r="D159" s="241"/>
      <c r="E159" s="241"/>
      <c r="F159" s="241"/>
      <c r="G159" s="241"/>
      <c r="H159" s="575" t="s">
        <v>1517</v>
      </c>
      <c r="I159" s="611"/>
      <c r="J159" s="575"/>
      <c r="K159" s="611" t="s">
        <v>1205</v>
      </c>
      <c r="L159" s="575"/>
      <c r="M159" s="575"/>
      <c r="N159" s="575"/>
      <c r="O159" s="575"/>
      <c r="P159" s="612"/>
      <c r="Q159" s="575" t="s">
        <v>817</v>
      </c>
      <c r="R159" s="575"/>
      <c r="S159" s="575" t="s">
        <v>863</v>
      </c>
      <c r="T159" s="613"/>
      <c r="U159" s="575"/>
      <c r="V159" s="614"/>
      <c r="W159" s="260" t="s">
        <v>864</v>
      </c>
      <c r="X159" s="232"/>
      <c r="Y159" s="615"/>
      <c r="Z159" s="263"/>
      <c r="AA159" s="616"/>
      <c r="AB159" s="575"/>
      <c r="AC159" s="613"/>
      <c r="AD159" s="613">
        <v>1</v>
      </c>
      <c r="AE159" s="260" t="s">
        <v>864</v>
      </c>
    </row>
    <row r="160" spans="1:31" s="224" customFormat="1" ht="13.5" customHeight="1">
      <c r="A160" s="225">
        <v>152</v>
      </c>
      <c r="B160" s="219"/>
      <c r="C160" s="241" t="s">
        <v>1518</v>
      </c>
      <c r="D160" s="241" t="s">
        <v>1519</v>
      </c>
      <c r="E160" s="241"/>
      <c r="F160" s="241"/>
      <c r="G160" s="241"/>
      <c r="H160" s="575" t="s">
        <v>1520</v>
      </c>
      <c r="I160" s="611"/>
      <c r="J160" s="575"/>
      <c r="K160" s="611" t="s">
        <v>1383</v>
      </c>
      <c r="L160" s="575"/>
      <c r="M160" s="575"/>
      <c r="N160" s="575"/>
      <c r="O160" s="575"/>
      <c r="P160" s="612"/>
      <c r="Q160" s="575" t="s">
        <v>817</v>
      </c>
      <c r="R160" s="575" t="s">
        <v>864</v>
      </c>
      <c r="S160" s="379" t="s">
        <v>1383</v>
      </c>
      <c r="T160" s="613"/>
      <c r="U160" s="575"/>
      <c r="V160" s="614"/>
      <c r="W160" s="260" t="s">
        <v>864</v>
      </c>
      <c r="X160" s="232"/>
      <c r="Y160" s="615"/>
      <c r="Z160" s="575"/>
      <c r="AA160" s="616"/>
      <c r="AB160" s="575"/>
      <c r="AC160" s="613"/>
      <c r="AD160" s="613">
        <v>1</v>
      </c>
      <c r="AE160" s="260" t="s">
        <v>864</v>
      </c>
    </row>
    <row r="161" spans="1:31" s="224" customFormat="1" ht="13.5" customHeight="1">
      <c r="A161" s="225">
        <v>153</v>
      </c>
      <c r="B161" s="219"/>
      <c r="C161" s="239" t="s">
        <v>1521</v>
      </c>
      <c r="D161" s="241"/>
      <c r="E161" s="241"/>
      <c r="F161" s="241"/>
      <c r="G161" s="241"/>
      <c r="H161" s="575" t="s">
        <v>1522</v>
      </c>
      <c r="I161" s="611" t="s">
        <v>930</v>
      </c>
      <c r="J161" s="575"/>
      <c r="K161" s="611" t="s">
        <v>931</v>
      </c>
      <c r="L161" s="575"/>
      <c r="M161" s="575"/>
      <c r="N161" s="575"/>
      <c r="O161" s="575"/>
      <c r="P161" s="612"/>
      <c r="Q161" s="575" t="s">
        <v>820</v>
      </c>
      <c r="R161" s="575"/>
      <c r="S161" s="575" t="s">
        <v>879</v>
      </c>
      <c r="T161" s="613"/>
      <c r="U161" s="575" t="s">
        <v>932</v>
      </c>
      <c r="V161" s="614"/>
      <c r="W161" s="614" t="s">
        <v>864</v>
      </c>
      <c r="X161" s="232"/>
      <c r="Y161" s="615"/>
      <c r="Z161" s="575"/>
      <c r="AA161" s="616"/>
      <c r="AB161" s="575"/>
      <c r="AC161" s="613"/>
      <c r="AD161" s="613">
        <v>1</v>
      </c>
      <c r="AE161" s="614" t="s">
        <v>864</v>
      </c>
    </row>
    <row r="162" spans="1:31" s="224" customFormat="1" ht="13.5" customHeight="1">
      <c r="A162" s="225">
        <v>154</v>
      </c>
      <c r="B162" s="219"/>
      <c r="C162" s="241" t="s">
        <v>1523</v>
      </c>
      <c r="D162" s="241"/>
      <c r="E162" s="241"/>
      <c r="F162" s="241"/>
      <c r="G162" s="241"/>
      <c r="H162" s="575" t="s">
        <v>1524</v>
      </c>
      <c r="I162" s="611"/>
      <c r="J162" s="575"/>
      <c r="K162" s="611" t="s">
        <v>939</v>
      </c>
      <c r="L162" s="575"/>
      <c r="M162" s="575"/>
      <c r="N162" s="575"/>
      <c r="O162" s="575"/>
      <c r="P162" s="612"/>
      <c r="Q162" s="575" t="s">
        <v>820</v>
      </c>
      <c r="R162" s="575"/>
      <c r="S162" s="575" t="s">
        <v>863</v>
      </c>
      <c r="T162" s="613"/>
      <c r="U162" s="575"/>
      <c r="V162" s="614"/>
      <c r="W162" s="260" t="s">
        <v>864</v>
      </c>
      <c r="X162" s="232"/>
      <c r="Y162" s="615"/>
      <c r="Z162" s="575"/>
      <c r="AA162" s="616"/>
      <c r="AB162" s="575"/>
      <c r="AC162" s="613"/>
      <c r="AD162" s="613">
        <v>1</v>
      </c>
      <c r="AE162" s="260" t="s">
        <v>864</v>
      </c>
    </row>
    <row r="163" spans="1:31" s="224" customFormat="1" ht="13.5" customHeight="1">
      <c r="A163" s="225">
        <v>155</v>
      </c>
      <c r="B163" s="219"/>
      <c r="C163" s="241" t="s">
        <v>1525</v>
      </c>
      <c r="D163" s="241"/>
      <c r="E163" s="241"/>
      <c r="F163" s="241"/>
      <c r="G163" s="241"/>
      <c r="H163" s="575" t="s">
        <v>1526</v>
      </c>
      <c r="I163" s="611"/>
      <c r="J163" s="575"/>
      <c r="K163" s="611" t="s">
        <v>1527</v>
      </c>
      <c r="L163" s="575"/>
      <c r="M163" s="575"/>
      <c r="N163" s="575"/>
      <c r="O163" s="575"/>
      <c r="P163" s="612"/>
      <c r="Q163" s="575" t="s">
        <v>817</v>
      </c>
      <c r="R163" s="575"/>
      <c r="S163" s="575" t="s">
        <v>863</v>
      </c>
      <c r="T163" s="613"/>
      <c r="U163" s="575"/>
      <c r="V163" s="614"/>
      <c r="W163" s="260" t="s">
        <v>864</v>
      </c>
      <c r="X163" s="232"/>
      <c r="Y163" s="615"/>
      <c r="Z163" s="575"/>
      <c r="AA163" s="616"/>
      <c r="AB163" s="575"/>
      <c r="AC163" s="613"/>
      <c r="AD163" s="613">
        <v>1</v>
      </c>
      <c r="AE163" s="260" t="s">
        <v>864</v>
      </c>
    </row>
    <row r="164" spans="1:31" s="224" customFormat="1" ht="13.5" customHeight="1">
      <c r="A164" s="225">
        <v>156</v>
      </c>
      <c r="B164" s="219"/>
      <c r="C164" s="241" t="s">
        <v>1528</v>
      </c>
      <c r="D164" s="241"/>
      <c r="E164" s="241"/>
      <c r="F164" s="241"/>
      <c r="G164" s="241"/>
      <c r="H164" s="575" t="s">
        <v>1529</v>
      </c>
      <c r="I164" s="611"/>
      <c r="J164" s="575"/>
      <c r="K164" s="611" t="s">
        <v>1530</v>
      </c>
      <c r="L164" s="575"/>
      <c r="M164" s="575"/>
      <c r="N164" s="575"/>
      <c r="O164" s="575"/>
      <c r="P164" s="612"/>
      <c r="Q164" s="575" t="s">
        <v>817</v>
      </c>
      <c r="R164" s="575"/>
      <c r="S164" s="575" t="s">
        <v>863</v>
      </c>
      <c r="T164" s="613"/>
      <c r="U164" s="575"/>
      <c r="V164" s="614"/>
      <c r="W164" s="260" t="s">
        <v>864</v>
      </c>
      <c r="X164" s="232"/>
      <c r="Y164" s="615"/>
      <c r="Z164" s="575"/>
      <c r="AA164" s="616"/>
      <c r="AB164" s="575"/>
      <c r="AC164" s="613"/>
      <c r="AD164" s="613">
        <v>1</v>
      </c>
      <c r="AE164" s="260" t="s">
        <v>864</v>
      </c>
    </row>
    <row r="165" spans="1:31" s="224" customFormat="1" ht="13.5" customHeight="1">
      <c r="A165" s="225">
        <v>157</v>
      </c>
      <c r="B165" s="219"/>
      <c r="C165" s="241" t="s">
        <v>1531</v>
      </c>
      <c r="D165" s="241"/>
      <c r="E165" s="241"/>
      <c r="F165" s="241"/>
      <c r="G165" s="241"/>
      <c r="H165" s="575" t="s">
        <v>1532</v>
      </c>
      <c r="I165" s="611"/>
      <c r="J165" s="575"/>
      <c r="K165" s="611" t="s">
        <v>1533</v>
      </c>
      <c r="L165" s="575"/>
      <c r="M165" s="575"/>
      <c r="N165" s="575"/>
      <c r="O165" s="575"/>
      <c r="P165" s="612"/>
      <c r="Q165" s="575" t="s">
        <v>817</v>
      </c>
      <c r="R165" s="575"/>
      <c r="S165" s="575" t="s">
        <v>863</v>
      </c>
      <c r="T165" s="613"/>
      <c r="U165" s="575"/>
      <c r="V165" s="614"/>
      <c r="W165" s="260" t="s">
        <v>864</v>
      </c>
      <c r="X165" s="232"/>
      <c r="Y165" s="615"/>
      <c r="Z165" s="575"/>
      <c r="AA165" s="616"/>
      <c r="AB165" s="575"/>
      <c r="AC165" s="613"/>
      <c r="AD165" s="613">
        <v>1</v>
      </c>
      <c r="AE165" s="260" t="s">
        <v>864</v>
      </c>
    </row>
    <row r="166" spans="1:31" s="224" customFormat="1" ht="13.5" customHeight="1">
      <c r="A166" s="225">
        <v>158</v>
      </c>
      <c r="B166" s="217" t="s">
        <v>1534</v>
      </c>
      <c r="C166" s="219"/>
      <c r="D166" s="241"/>
      <c r="E166" s="241"/>
      <c r="F166" s="241"/>
      <c r="G166" s="241"/>
      <c r="H166" s="269" t="s">
        <v>1535</v>
      </c>
      <c r="I166" s="611"/>
      <c r="J166" s="575"/>
      <c r="K166" s="611" t="s">
        <v>1536</v>
      </c>
      <c r="L166" s="575"/>
      <c r="M166" s="575"/>
      <c r="N166" s="575"/>
      <c r="O166" s="575"/>
      <c r="P166" s="612"/>
      <c r="Q166" s="575" t="s">
        <v>823</v>
      </c>
      <c r="R166" s="575" t="s">
        <v>864</v>
      </c>
      <c r="S166" s="243" t="s">
        <v>1536</v>
      </c>
      <c r="T166" s="613"/>
      <c r="U166" s="575"/>
      <c r="V166" s="614" t="s">
        <v>864</v>
      </c>
      <c r="W166" s="260" t="s">
        <v>864</v>
      </c>
      <c r="X166" s="232"/>
      <c r="Y166" s="266" t="s">
        <v>1537</v>
      </c>
      <c r="Z166" s="263" t="s">
        <v>1538</v>
      </c>
      <c r="AA166" s="616"/>
      <c r="AB166" s="575"/>
      <c r="AC166" s="613"/>
      <c r="AD166" s="613">
        <v>1</v>
      </c>
      <c r="AE166" s="260" t="s">
        <v>864</v>
      </c>
    </row>
    <row r="167" spans="1:31" s="224" customFormat="1" ht="13.5" customHeight="1">
      <c r="A167" s="225">
        <v>159</v>
      </c>
      <c r="B167" s="217"/>
      <c r="C167" s="217" t="s">
        <v>1393</v>
      </c>
      <c r="D167" s="241"/>
      <c r="E167" s="241"/>
      <c r="F167" s="241"/>
      <c r="G167" s="241"/>
      <c r="H167" s="575" t="s">
        <v>1615</v>
      </c>
      <c r="I167" s="611"/>
      <c r="J167" s="575"/>
      <c r="K167" s="611" t="s">
        <v>1205</v>
      </c>
      <c r="L167" s="575"/>
      <c r="M167" s="575"/>
      <c r="N167" s="575"/>
      <c r="O167" s="575"/>
      <c r="P167" s="612"/>
      <c r="Q167" s="575" t="s">
        <v>817</v>
      </c>
      <c r="R167" s="575"/>
      <c r="S167" s="575" t="s">
        <v>863</v>
      </c>
      <c r="T167" s="613"/>
      <c r="U167" s="575"/>
      <c r="V167" s="614" t="s">
        <v>864</v>
      </c>
      <c r="W167" s="260" t="s">
        <v>864</v>
      </c>
      <c r="X167" s="232"/>
      <c r="Y167" s="615"/>
      <c r="Z167" s="263"/>
      <c r="AA167" s="616"/>
      <c r="AB167" s="575"/>
      <c r="AC167" s="613"/>
      <c r="AD167" s="613">
        <v>1</v>
      </c>
      <c r="AE167" s="260" t="s">
        <v>864</v>
      </c>
    </row>
    <row r="168" spans="1:31" s="158" customFormat="1" ht="12.75" customHeight="1">
      <c r="A168" s="225">
        <v>160</v>
      </c>
      <c r="B168" s="217"/>
      <c r="C168" s="241" t="s">
        <v>1539</v>
      </c>
      <c r="D168" s="241"/>
      <c r="E168" s="241"/>
      <c r="F168" s="241"/>
      <c r="G168" s="241"/>
      <c r="H168" s="575" t="s">
        <v>1540</v>
      </c>
      <c r="I168" s="611" t="s">
        <v>930</v>
      </c>
      <c r="J168" s="575"/>
      <c r="K168" s="611" t="s">
        <v>931</v>
      </c>
      <c r="L168" s="575"/>
      <c r="M168" s="575"/>
      <c r="N168" s="575"/>
      <c r="O168" s="575"/>
      <c r="P168" s="612"/>
      <c r="Q168" s="575" t="s">
        <v>820</v>
      </c>
      <c r="R168" s="575"/>
      <c r="S168" s="575" t="s">
        <v>879</v>
      </c>
      <c r="T168" s="613"/>
      <c r="U168" s="575"/>
      <c r="V168" s="614" t="s">
        <v>864</v>
      </c>
      <c r="W168" s="614" t="s">
        <v>864</v>
      </c>
      <c r="X168" s="232"/>
      <c r="Y168" s="615"/>
      <c r="Z168" s="263"/>
      <c r="AA168" s="616"/>
      <c r="AB168" s="575"/>
      <c r="AC168" s="613"/>
      <c r="AD168" s="613">
        <v>1</v>
      </c>
      <c r="AE168" s="614" t="s">
        <v>864</v>
      </c>
    </row>
    <row r="169" spans="1:31" s="158" customFormat="1" ht="12.75" customHeight="1">
      <c r="A169" s="225">
        <v>161</v>
      </c>
      <c r="B169" s="217"/>
      <c r="C169" s="241" t="s">
        <v>1541</v>
      </c>
      <c r="D169" s="241"/>
      <c r="E169" s="241"/>
      <c r="F169" s="241"/>
      <c r="G169" s="241"/>
      <c r="H169" s="624" t="s">
        <v>1542</v>
      </c>
      <c r="I169" s="611" t="s">
        <v>1543</v>
      </c>
      <c r="J169" s="575"/>
      <c r="K169" s="611" t="s">
        <v>958</v>
      </c>
      <c r="L169" s="575"/>
      <c r="M169" s="575"/>
      <c r="N169" s="575"/>
      <c r="O169" s="575"/>
      <c r="P169" s="612"/>
      <c r="Q169" s="623" t="s">
        <v>817</v>
      </c>
      <c r="R169" s="575"/>
      <c r="S169" s="575" t="s">
        <v>863</v>
      </c>
      <c r="T169" s="374" t="s">
        <v>864</v>
      </c>
      <c r="U169" s="374"/>
      <c r="V169" s="614" t="s">
        <v>864</v>
      </c>
      <c r="W169" s="260" t="s">
        <v>864</v>
      </c>
      <c r="X169" s="232"/>
      <c r="Y169" s="387" t="s">
        <v>1544</v>
      </c>
      <c r="Z169" s="390" t="s">
        <v>1545</v>
      </c>
      <c r="AA169" s="616" t="s">
        <v>1546</v>
      </c>
      <c r="AB169" s="575"/>
      <c r="AC169" s="613"/>
      <c r="AD169" s="613">
        <v>1</v>
      </c>
      <c r="AE169" s="260" t="s">
        <v>864</v>
      </c>
    </row>
    <row r="170" spans="1:31" s="158" customFormat="1" ht="12.75" customHeight="1">
      <c r="A170" s="225">
        <v>162</v>
      </c>
      <c r="B170" s="217"/>
      <c r="C170" s="241" t="s">
        <v>1547</v>
      </c>
      <c r="D170" s="241"/>
      <c r="E170" s="241"/>
      <c r="F170" s="241"/>
      <c r="G170" s="241"/>
      <c r="H170" s="266" t="s">
        <v>1548</v>
      </c>
      <c r="I170" s="264" t="s">
        <v>1549</v>
      </c>
      <c r="J170" s="263"/>
      <c r="K170" s="611" t="s">
        <v>1550</v>
      </c>
      <c r="L170" s="575"/>
      <c r="M170" s="575"/>
      <c r="N170" s="575"/>
      <c r="O170" s="575"/>
      <c r="P170" s="612"/>
      <c r="Q170" s="575" t="s">
        <v>817</v>
      </c>
      <c r="R170" s="575"/>
      <c r="S170" s="575" t="s">
        <v>863</v>
      </c>
      <c r="T170" s="374" t="s">
        <v>864</v>
      </c>
      <c r="U170" s="374"/>
      <c r="V170" s="265" t="s">
        <v>864</v>
      </c>
      <c r="W170" s="260" t="s">
        <v>864</v>
      </c>
      <c r="X170" s="232"/>
      <c r="Y170" s="388" t="s">
        <v>1551</v>
      </c>
      <c r="Z170" s="390" t="s">
        <v>1545</v>
      </c>
      <c r="AA170" s="267" t="s">
        <v>1552</v>
      </c>
      <c r="AB170" s="263"/>
      <c r="AC170" s="613"/>
      <c r="AD170" s="613">
        <v>1</v>
      </c>
      <c r="AE170" s="260" t="s">
        <v>864</v>
      </c>
    </row>
    <row r="171" spans="1:31" s="530" customFormat="1" ht="12.75" customHeight="1">
      <c r="A171" s="225">
        <v>163</v>
      </c>
      <c r="B171" s="514"/>
      <c r="C171" s="515" t="s">
        <v>1553</v>
      </c>
      <c r="D171" s="515"/>
      <c r="E171" s="515"/>
      <c r="F171" s="515"/>
      <c r="G171" s="515"/>
      <c r="H171" s="516" t="s">
        <v>1554</v>
      </c>
      <c r="I171" s="517" t="s">
        <v>1555</v>
      </c>
      <c r="J171" s="518"/>
      <c r="K171" s="519" t="s">
        <v>1556</v>
      </c>
      <c r="L171" s="386"/>
      <c r="M171" s="386"/>
      <c r="N171" s="386"/>
      <c r="O171" s="386"/>
      <c r="P171" s="520"/>
      <c r="Q171" s="521" t="s">
        <v>823</v>
      </c>
      <c r="R171" s="386"/>
      <c r="S171" s="386" t="s">
        <v>863</v>
      </c>
      <c r="T171" s="522"/>
      <c r="U171" s="522"/>
      <c r="V171" s="523" t="s">
        <v>864</v>
      </c>
      <c r="W171" s="524" t="s">
        <v>864</v>
      </c>
      <c r="X171" s="525"/>
      <c r="Y171" s="526" t="s">
        <v>1557</v>
      </c>
      <c r="Z171" s="527" t="s">
        <v>1558</v>
      </c>
      <c r="AA171" s="528"/>
      <c r="AB171" s="518"/>
      <c r="AC171" s="529"/>
      <c r="AD171" s="529">
        <v>1</v>
      </c>
      <c r="AE171" s="524"/>
    </row>
    <row r="172" spans="1:31" s="530" customFormat="1" ht="12.75" customHeight="1">
      <c r="A172" s="225">
        <v>164</v>
      </c>
      <c r="B172" s="217"/>
      <c r="C172" s="218" t="s">
        <v>616</v>
      </c>
      <c r="D172" s="241"/>
      <c r="E172" s="241"/>
      <c r="F172" s="241"/>
      <c r="G172" s="241"/>
      <c r="H172" s="624" t="s">
        <v>1616</v>
      </c>
      <c r="I172" s="611"/>
      <c r="J172" s="575"/>
      <c r="K172" s="611" t="s">
        <v>1617</v>
      </c>
      <c r="L172" s="575"/>
      <c r="M172" s="575"/>
      <c r="N172" s="575"/>
      <c r="O172" s="575"/>
      <c r="P172" s="612"/>
      <c r="Q172" s="255" t="s">
        <v>817</v>
      </c>
      <c r="R172" s="255"/>
      <c r="S172" s="255" t="s">
        <v>863</v>
      </c>
      <c r="T172" s="613"/>
      <c r="U172" s="575"/>
      <c r="V172" s="614" t="s">
        <v>864</v>
      </c>
      <c r="W172" s="614" t="s">
        <v>864</v>
      </c>
      <c r="X172" s="232"/>
      <c r="Y172" s="625"/>
      <c r="Z172" s="575"/>
      <c r="AA172" s="616"/>
      <c r="AB172" s="575"/>
      <c r="AC172" s="613"/>
      <c r="AD172" s="613"/>
      <c r="AE172" s="524"/>
    </row>
    <row r="173" spans="1:31" s="249" customFormat="1" ht="12.75" customHeight="1">
      <c r="A173" s="225">
        <v>165</v>
      </c>
      <c r="B173" s="218"/>
      <c r="C173" s="218" t="s">
        <v>1559</v>
      </c>
      <c r="D173" s="218"/>
      <c r="E173" s="218"/>
      <c r="F173" s="218"/>
      <c r="G173" s="218"/>
      <c r="H173" s="503" t="s">
        <v>1618</v>
      </c>
      <c r="I173" s="501"/>
      <c r="J173" s="255"/>
      <c r="K173" s="501" t="s">
        <v>1561</v>
      </c>
      <c r="L173" s="255"/>
      <c r="M173" s="255"/>
      <c r="N173" s="255"/>
      <c r="O173" s="255"/>
      <c r="P173" s="377"/>
      <c r="Q173" s="255" t="s">
        <v>817</v>
      </c>
      <c r="R173" s="255"/>
      <c r="S173" s="255" t="s">
        <v>863</v>
      </c>
      <c r="T173" s="374"/>
      <c r="U173" s="255"/>
      <c r="V173" s="375" t="s">
        <v>864</v>
      </c>
      <c r="W173" s="375" t="s">
        <v>864</v>
      </c>
      <c r="X173" s="504"/>
      <c r="Y173" s="505" t="s">
        <v>1562</v>
      </c>
      <c r="Z173" s="255"/>
      <c r="AA173" s="245"/>
      <c r="AB173" s="255"/>
      <c r="AC173" s="374"/>
      <c r="AD173" s="374"/>
      <c r="AE173" s="375" t="s">
        <v>864</v>
      </c>
    </row>
    <row r="174" spans="1:31" s="158" customFormat="1" ht="12.75" customHeight="1">
      <c r="A174" s="225">
        <v>166</v>
      </c>
      <c r="B174" s="217"/>
      <c r="C174" s="241" t="s">
        <v>1563</v>
      </c>
      <c r="D174" s="241"/>
      <c r="E174" s="241"/>
      <c r="F174" s="241"/>
      <c r="G174" s="241"/>
      <c r="H174" s="269" t="s">
        <v>1564</v>
      </c>
      <c r="I174" s="264" t="s">
        <v>1565</v>
      </c>
      <c r="J174" s="263"/>
      <c r="K174" s="611" t="s">
        <v>1566</v>
      </c>
      <c r="L174" s="575"/>
      <c r="M174" s="575"/>
      <c r="N174" s="575"/>
      <c r="O174" s="575"/>
      <c r="P174" s="612"/>
      <c r="Q174" s="575" t="s">
        <v>817</v>
      </c>
      <c r="R174" s="575"/>
      <c r="S174" s="575" t="s">
        <v>863</v>
      </c>
      <c r="T174" s="268"/>
      <c r="U174" s="377"/>
      <c r="V174" s="265" t="s">
        <v>864</v>
      </c>
      <c r="W174" s="260" t="s">
        <v>864</v>
      </c>
      <c r="X174" s="232"/>
      <c r="Y174" s="389" t="s">
        <v>1567</v>
      </c>
      <c r="Z174" s="390" t="s">
        <v>1545</v>
      </c>
      <c r="AA174" s="267"/>
      <c r="AB174" s="263"/>
      <c r="AC174" s="613"/>
      <c r="AD174" s="613">
        <v>1</v>
      </c>
      <c r="AE174" s="260" t="s">
        <v>864</v>
      </c>
    </row>
    <row r="175" spans="1:31" s="158" customFormat="1" ht="12.75" customHeight="1">
      <c r="A175" s="225">
        <v>167</v>
      </c>
      <c r="B175" s="217"/>
      <c r="C175" s="241" t="s">
        <v>1568</v>
      </c>
      <c r="D175" s="241"/>
      <c r="E175" s="241"/>
      <c r="F175" s="241"/>
      <c r="G175" s="241"/>
      <c r="H175" s="269"/>
      <c r="I175" s="264"/>
      <c r="J175" s="263"/>
      <c r="K175" s="611" t="s">
        <v>1569</v>
      </c>
      <c r="L175" s="575"/>
      <c r="M175" s="575"/>
      <c r="N175" s="575"/>
      <c r="O175" s="575"/>
      <c r="P175" s="612"/>
      <c r="Q175" s="623" t="s">
        <v>817</v>
      </c>
      <c r="R175" s="575" t="s">
        <v>864</v>
      </c>
      <c r="S175" s="379" t="s">
        <v>1569</v>
      </c>
      <c r="T175" s="268"/>
      <c r="U175" s="263"/>
      <c r="V175" s="265" t="s">
        <v>864</v>
      </c>
      <c r="W175" s="260" t="s">
        <v>864</v>
      </c>
      <c r="X175" s="232"/>
      <c r="Y175" s="266" t="s">
        <v>1570</v>
      </c>
      <c r="Z175" s="263"/>
      <c r="AA175" s="261"/>
      <c r="AB175" s="263"/>
      <c r="AC175" s="613"/>
      <c r="AD175" s="613">
        <v>1</v>
      </c>
      <c r="AE175" s="260" t="s">
        <v>864</v>
      </c>
    </row>
    <row r="176" spans="1:31" s="158" customFormat="1" ht="12.75" customHeight="1">
      <c r="A176" s="225">
        <v>168</v>
      </c>
      <c r="B176" s="217"/>
      <c r="C176" s="241"/>
      <c r="D176" s="241" t="s">
        <v>1571</v>
      </c>
      <c r="E176" s="241"/>
      <c r="F176" s="241"/>
      <c r="G176" s="241"/>
      <c r="H176" s="269" t="s">
        <v>1572</v>
      </c>
      <c r="I176" s="264"/>
      <c r="J176" s="263"/>
      <c r="K176" s="611" t="s">
        <v>958</v>
      </c>
      <c r="L176" s="575"/>
      <c r="M176" s="575"/>
      <c r="N176" s="575"/>
      <c r="O176" s="575"/>
      <c r="P176" s="612"/>
      <c r="Q176" s="623" t="s">
        <v>817</v>
      </c>
      <c r="R176" s="575"/>
      <c r="S176" s="575" t="s">
        <v>863</v>
      </c>
      <c r="T176" s="268" t="s">
        <v>864</v>
      </c>
      <c r="U176" s="263" t="s">
        <v>1573</v>
      </c>
      <c r="V176" s="265" t="s">
        <v>864</v>
      </c>
      <c r="W176" s="260" t="s">
        <v>864</v>
      </c>
      <c r="X176" s="232"/>
      <c r="Y176" s="266"/>
      <c r="Z176" s="263"/>
      <c r="AA176" s="261"/>
      <c r="AB176" s="263"/>
      <c r="AC176" s="613"/>
      <c r="AD176" s="613">
        <v>1</v>
      </c>
      <c r="AE176" s="260" t="s">
        <v>864</v>
      </c>
    </row>
    <row r="177" spans="1:1017" s="158" customFormat="1" ht="12.75" customHeight="1">
      <c r="A177" s="225">
        <v>169</v>
      </c>
      <c r="B177" s="499"/>
      <c r="C177" s="500"/>
      <c r="D177" s="500" t="s">
        <v>1574</v>
      </c>
      <c r="E177" s="217" t="s">
        <v>1575</v>
      </c>
      <c r="F177" s="217"/>
      <c r="G177" s="217"/>
      <c r="H177" s="624"/>
      <c r="I177" s="611"/>
      <c r="J177" s="575"/>
      <c r="K177" s="611" t="s">
        <v>1576</v>
      </c>
      <c r="L177" s="575"/>
      <c r="M177" s="575"/>
      <c r="N177" s="575"/>
      <c r="O177" s="575"/>
      <c r="P177" s="612"/>
      <c r="Q177" s="623" t="s">
        <v>817</v>
      </c>
      <c r="R177" s="575" t="s">
        <v>864</v>
      </c>
      <c r="S177" s="243" t="s">
        <v>1041</v>
      </c>
      <c r="T177" s="613"/>
      <c r="U177" s="575"/>
      <c r="V177" s="614" t="s">
        <v>864</v>
      </c>
      <c r="W177" s="614" t="s">
        <v>864</v>
      </c>
      <c r="X177" s="232"/>
      <c r="Y177" s="615"/>
      <c r="Z177" s="575"/>
      <c r="AA177" s="616"/>
      <c r="AB177" s="575"/>
      <c r="AC177" s="613"/>
      <c r="AD177" s="613">
        <v>1</v>
      </c>
      <c r="AE177" s="614" t="s">
        <v>864</v>
      </c>
    </row>
    <row r="178" spans="1:1017" s="224" customFormat="1" ht="14.25" customHeight="1">
      <c r="A178" s="225">
        <v>170</v>
      </c>
      <c r="B178" s="217" t="s">
        <v>1577</v>
      </c>
      <c r="C178" s="217" t="s">
        <v>1578</v>
      </c>
      <c r="D178" s="270"/>
      <c r="E178" s="217"/>
      <c r="F178" s="217"/>
      <c r="G178" s="217"/>
      <c r="H178" s="575" t="s">
        <v>1579</v>
      </c>
      <c r="I178" s="611"/>
      <c r="J178" s="575" t="s">
        <v>1580</v>
      </c>
      <c r="K178" s="611" t="s">
        <v>1581</v>
      </c>
      <c r="L178" s="575"/>
      <c r="M178" s="575"/>
      <c r="N178" s="575"/>
      <c r="O178" s="575"/>
      <c r="P178" s="612">
        <v>1</v>
      </c>
      <c r="Q178" s="575" t="s">
        <v>823</v>
      </c>
      <c r="R178" s="575" t="s">
        <v>864</v>
      </c>
      <c r="S178" s="243" t="s">
        <v>1221</v>
      </c>
      <c r="T178" s="281"/>
      <c r="U178" s="575"/>
      <c r="V178" s="614" t="s">
        <v>864</v>
      </c>
      <c r="W178" s="614" t="s">
        <v>864</v>
      </c>
      <c r="X178" s="232"/>
      <c r="Y178" s="615"/>
      <c r="Z178" s="575"/>
      <c r="AA178" s="616"/>
      <c r="AB178" s="575"/>
      <c r="AC178" s="613"/>
      <c r="AD178" s="613">
        <v>1</v>
      </c>
      <c r="AE178" s="614"/>
    </row>
    <row r="179" spans="1:1017" s="249" customFormat="1" ht="12.95" customHeight="1">
      <c r="A179" s="225">
        <v>171</v>
      </c>
      <c r="B179" s="217" t="s">
        <v>1582</v>
      </c>
      <c r="C179" s="221"/>
      <c r="D179" s="241"/>
      <c r="E179" s="241"/>
      <c r="F179" s="241"/>
      <c r="G179" s="241"/>
      <c r="H179" s="575"/>
      <c r="I179" s="611"/>
      <c r="J179" s="575"/>
      <c r="K179" s="575" t="s">
        <v>1583</v>
      </c>
      <c r="L179" s="575"/>
      <c r="M179" s="575"/>
      <c r="N179" s="575"/>
      <c r="O179" s="575"/>
      <c r="P179" s="612"/>
      <c r="Q179" s="575" t="s">
        <v>817</v>
      </c>
      <c r="R179" s="575" t="s">
        <v>864</v>
      </c>
      <c r="S179" s="575" t="s">
        <v>1583</v>
      </c>
      <c r="T179" s="613"/>
      <c r="U179" s="575"/>
      <c r="V179" s="614" t="s">
        <v>864</v>
      </c>
      <c r="W179" s="614" t="s">
        <v>864</v>
      </c>
      <c r="X179" s="232"/>
      <c r="Y179" s="615"/>
      <c r="Z179" s="575"/>
      <c r="AA179" s="616"/>
      <c r="AB179" s="575"/>
      <c r="AC179" s="613">
        <v>1</v>
      </c>
      <c r="AD179" s="613">
        <v>1</v>
      </c>
      <c r="AE179" s="614"/>
    </row>
    <row r="180" spans="1:1017" s="249" customFormat="1" ht="12.95" customHeight="1">
      <c r="A180" s="225">
        <v>172</v>
      </c>
      <c r="B180" s="217"/>
      <c r="C180" s="221" t="s">
        <v>1584</v>
      </c>
      <c r="D180" s="221"/>
      <c r="E180" s="241"/>
      <c r="F180" s="241"/>
      <c r="G180" s="241"/>
      <c r="H180" s="575" t="s">
        <v>1585</v>
      </c>
      <c r="I180" s="611"/>
      <c r="J180" s="575"/>
      <c r="K180" s="611" t="s">
        <v>1586</v>
      </c>
      <c r="L180" s="575"/>
      <c r="M180" s="575"/>
      <c r="N180" s="575"/>
      <c r="O180" s="575"/>
      <c r="P180" s="612"/>
      <c r="Q180" s="575" t="s">
        <v>1587</v>
      </c>
      <c r="R180" s="575" t="s">
        <v>864</v>
      </c>
      <c r="S180" s="243" t="s">
        <v>1586</v>
      </c>
      <c r="T180" s="613"/>
      <c r="U180" s="575"/>
      <c r="V180" s="614" t="s">
        <v>864</v>
      </c>
      <c r="W180" s="614" t="s">
        <v>864</v>
      </c>
      <c r="X180" s="232"/>
      <c r="Y180" s="615"/>
      <c r="Z180" s="575"/>
      <c r="AA180" s="616"/>
      <c r="AB180" s="575"/>
      <c r="AC180" s="613">
        <v>1</v>
      </c>
      <c r="AD180" s="613">
        <v>1</v>
      </c>
      <c r="AE180" s="614"/>
    </row>
    <row r="181" spans="1:1017" s="249" customFormat="1" ht="12.95" customHeight="1">
      <c r="A181" s="225">
        <v>173</v>
      </c>
      <c r="B181" s="217"/>
      <c r="C181" s="221"/>
      <c r="D181" s="241" t="s">
        <v>1588</v>
      </c>
      <c r="E181" s="221"/>
      <c r="F181" s="241"/>
      <c r="G181" s="241"/>
      <c r="H181" s="575" t="s">
        <v>1589</v>
      </c>
      <c r="I181" s="611" t="s">
        <v>1590</v>
      </c>
      <c r="J181" s="575"/>
      <c r="K181" s="611" t="s">
        <v>1591</v>
      </c>
      <c r="L181" s="575"/>
      <c r="M181" s="575"/>
      <c r="N181" s="575"/>
      <c r="O181" s="575"/>
      <c r="P181" s="612"/>
      <c r="Q181" s="575" t="s">
        <v>820</v>
      </c>
      <c r="R181" s="575"/>
      <c r="S181" s="575" t="s">
        <v>863</v>
      </c>
      <c r="T181" s="613"/>
      <c r="U181" s="575"/>
      <c r="V181" s="614" t="s">
        <v>864</v>
      </c>
      <c r="W181" s="614" t="s">
        <v>864</v>
      </c>
      <c r="X181" s="232"/>
      <c r="Y181" s="615"/>
      <c r="Z181" s="575"/>
      <c r="AA181" s="616"/>
      <c r="AB181" s="575"/>
      <c r="AC181" s="613">
        <v>1</v>
      </c>
      <c r="AD181" s="613">
        <v>1</v>
      </c>
      <c r="AE181" s="614"/>
    </row>
    <row r="182" spans="1:1017" s="249" customFormat="1" ht="12.95" customHeight="1">
      <c r="A182" s="225">
        <v>174</v>
      </c>
      <c r="B182" s="217"/>
      <c r="C182" s="221"/>
      <c r="D182" s="241" t="s">
        <v>979</v>
      </c>
      <c r="E182" s="221"/>
      <c r="F182" s="241"/>
      <c r="G182" s="241"/>
      <c r="H182" s="575" t="s">
        <v>1592</v>
      </c>
      <c r="I182" s="611" t="s">
        <v>399</v>
      </c>
      <c r="J182" s="575"/>
      <c r="K182" s="611" t="s">
        <v>982</v>
      </c>
      <c r="L182" s="575"/>
      <c r="M182" s="575"/>
      <c r="N182" s="575"/>
      <c r="O182" s="575"/>
      <c r="P182" s="612"/>
      <c r="Q182" s="575" t="s">
        <v>817</v>
      </c>
      <c r="R182" s="575"/>
      <c r="S182" s="575" t="s">
        <v>863</v>
      </c>
      <c r="T182" s="613"/>
      <c r="U182" s="575"/>
      <c r="V182" s="614" t="s">
        <v>864</v>
      </c>
      <c r="W182" s="614" t="s">
        <v>864</v>
      </c>
      <c r="X182" s="232"/>
      <c r="Y182" s="615"/>
      <c r="Z182" s="575"/>
      <c r="AA182" s="616"/>
      <c r="AB182" s="575"/>
      <c r="AC182" s="613">
        <v>1</v>
      </c>
      <c r="AD182" s="613">
        <v>1</v>
      </c>
      <c r="AE182" s="614"/>
    </row>
    <row r="183" spans="1:1017" s="249" customFormat="1" ht="12.95" customHeight="1">
      <c r="A183" s="225">
        <v>175</v>
      </c>
      <c r="B183" s="217"/>
      <c r="C183" s="221"/>
      <c r="D183" s="241" t="s">
        <v>1593</v>
      </c>
      <c r="E183" s="221"/>
      <c r="F183" s="241"/>
      <c r="G183" s="241"/>
      <c r="H183" s="575" t="s">
        <v>1594</v>
      </c>
      <c r="I183" s="611" t="s">
        <v>1595</v>
      </c>
      <c r="J183" s="575"/>
      <c r="K183" s="611" t="s">
        <v>1067</v>
      </c>
      <c r="L183" s="575"/>
      <c r="M183" s="575"/>
      <c r="N183" s="575"/>
      <c r="O183" s="575"/>
      <c r="P183" s="612"/>
      <c r="Q183" s="575" t="s">
        <v>820</v>
      </c>
      <c r="R183" s="575"/>
      <c r="S183" s="575" t="s">
        <v>863</v>
      </c>
      <c r="T183" s="613"/>
      <c r="U183" s="575"/>
      <c r="V183" s="614" t="s">
        <v>864</v>
      </c>
      <c r="W183" s="614" t="s">
        <v>864</v>
      </c>
      <c r="X183" s="232"/>
      <c r="Y183" s="615"/>
      <c r="Z183" s="575"/>
      <c r="AA183" s="616"/>
      <c r="AB183" s="575"/>
      <c r="AC183" s="613">
        <v>1</v>
      </c>
      <c r="AD183" s="613">
        <v>1</v>
      </c>
      <c r="AE183" s="614"/>
    </row>
    <row r="184" spans="1:1017" s="249" customFormat="1" ht="12.95" customHeight="1">
      <c r="A184" s="225">
        <v>176</v>
      </c>
      <c r="B184" s="217"/>
      <c r="C184" s="262"/>
      <c r="D184" s="221" t="s">
        <v>1596</v>
      </c>
      <c r="E184" s="221"/>
      <c r="F184" s="241"/>
      <c r="G184" s="241"/>
      <c r="H184" s="575" t="s">
        <v>1597</v>
      </c>
      <c r="I184" s="611" t="s">
        <v>1598</v>
      </c>
      <c r="J184" s="575"/>
      <c r="K184" s="611" t="s">
        <v>939</v>
      </c>
      <c r="L184" s="575"/>
      <c r="M184" s="575"/>
      <c r="N184" s="575"/>
      <c r="O184" s="575"/>
      <c r="P184" s="612"/>
      <c r="Q184" s="575" t="s">
        <v>817</v>
      </c>
      <c r="R184" s="575"/>
      <c r="S184" s="575" t="s">
        <v>863</v>
      </c>
      <c r="T184" s="613"/>
      <c r="U184" s="575"/>
      <c r="V184" s="614" t="s">
        <v>864</v>
      </c>
      <c r="W184" s="614" t="s">
        <v>864</v>
      </c>
      <c r="X184" s="232"/>
      <c r="Y184" s="615"/>
      <c r="Z184" s="575"/>
      <c r="AA184" s="616"/>
      <c r="AB184" s="575"/>
      <c r="AC184" s="613">
        <v>1</v>
      </c>
      <c r="AD184" s="613">
        <v>1</v>
      </c>
      <c r="AE184" s="614"/>
    </row>
    <row r="185" spans="1:1017" s="249" customFormat="1" ht="12.95" customHeight="1">
      <c r="A185" s="225">
        <v>177</v>
      </c>
      <c r="B185" s="217" t="s">
        <v>1599</v>
      </c>
      <c r="C185" s="262"/>
      <c r="D185" s="241"/>
      <c r="E185" s="241"/>
      <c r="F185" s="241"/>
      <c r="G185" s="241"/>
      <c r="H185" s="575" t="s">
        <v>1600</v>
      </c>
      <c r="I185" s="611"/>
      <c r="J185" s="575"/>
      <c r="K185" s="611" t="s">
        <v>939</v>
      </c>
      <c r="L185" s="575"/>
      <c r="M185" s="575"/>
      <c r="N185" s="575"/>
      <c r="O185" s="575"/>
      <c r="P185" s="612"/>
      <c r="Q185" s="575" t="s">
        <v>817</v>
      </c>
      <c r="R185" s="575"/>
      <c r="S185" s="575" t="s">
        <v>863</v>
      </c>
      <c r="T185" s="613"/>
      <c r="U185" s="575"/>
      <c r="V185" s="613" t="s">
        <v>864</v>
      </c>
      <c r="W185" s="613" t="s">
        <v>864</v>
      </c>
      <c r="X185" s="232"/>
      <c r="Y185" s="615"/>
      <c r="Z185" s="575"/>
      <c r="AA185" s="575"/>
      <c r="AB185" s="575"/>
      <c r="AC185" s="613"/>
      <c r="AD185" s="613">
        <v>1</v>
      </c>
      <c r="AE185" s="613"/>
    </row>
    <row r="186" spans="1:1017" s="224" customFormat="1" ht="12" customHeight="1">
      <c r="A186" s="225">
        <f>SUBTOTAL(103,createCase[ID])</f>
        <v>177</v>
      </c>
      <c r="C186" s="225">
        <f>SUBTOTAL(103,createCase[Donnée (Niveau 2)])</f>
        <v>55</v>
      </c>
      <c r="D186" s="225">
        <f>SUBTOTAL(103,createCase[Donnée (Niveau 3)])</f>
        <v>82</v>
      </c>
      <c r="E186" s="225">
        <f>SUBTOTAL(103,createCase[Donnée (Niveau 4)])</f>
        <v>35</v>
      </c>
      <c r="F186" s="225">
        <f>SUBTOTAL(103,createCase[Donnée (Niveau 5)])</f>
        <v>10</v>
      </c>
      <c r="G186" s="225">
        <f>SUBTOTAL(103,createCase[Donnée (Niveau 6)])</f>
        <v>0</v>
      </c>
      <c r="H186" s="225">
        <f>SUBTOTAL(103,createCase[Description])</f>
        <v>155</v>
      </c>
      <c r="I186" s="225">
        <f>SUBTOTAL(103,createCase[Exemples])</f>
        <v>94</v>
      </c>
      <c r="J186" s="225">
        <f>SUBTOTAL(103,createCase[Balise NexSIS])</f>
        <v>61</v>
      </c>
      <c r="K186" s="239">
        <f>SUBTOTAL(103,createCase[Nouvelle balise])</f>
        <v>153</v>
      </c>
      <c r="L186" s="225">
        <f>SUBTOTAL(103,createCase[Nantes - balise])</f>
        <v>22</v>
      </c>
      <c r="M186" s="225">
        <f>SUBTOTAL(103,createCase[Nantes - description])</f>
        <v>22</v>
      </c>
      <c r="N186" s="225">
        <f>SUBTOTAL(103,createCase[GT399])</f>
        <v>0</v>
      </c>
      <c r="O186" s="225">
        <f>SUBTOTAL(103,createCase[GT399 description])</f>
        <v>0</v>
      </c>
      <c r="P186" s="234">
        <f>SUBTOTAL(103,createCase[Priorisation])</f>
        <v>16</v>
      </c>
      <c r="Q186" s="225"/>
      <c r="R186" s="225">
        <f>SUBTOTAL(103,createCase[Objet])</f>
        <v>60</v>
      </c>
      <c r="S186" s="225">
        <f>SUBTOTAL(103,createCase[Format (ou type)])</f>
        <v>177</v>
      </c>
      <c r="T186" s="274"/>
      <c r="U186" s="225"/>
      <c r="V186" s="225"/>
      <c r="W186" s="225"/>
      <c r="Y186" s="271">
        <f>SUBTOTAL(103,createCase[Commentaire Hub Santé])</f>
        <v>36</v>
      </c>
      <c r="Z186" s="225">
        <f>SUBTOTAL(103,createCase[Commentaire Philippe Dreyfus])</f>
        <v>40</v>
      </c>
      <c r="AA186" s="239"/>
      <c r="AB186" s="225">
        <f>SUBTOTAL(103,createCase[Commentaire Yann Penverne])</f>
        <v>0</v>
      </c>
      <c r="AC186" s="225">
        <f>SUBTOTAL(103,createCase[NexSIS])-COUNTIFS(createCase[NexSIS],"=X")</f>
        <v>84</v>
      </c>
      <c r="AD186" s="225">
        <f>SUBTOTAL(103,createCase[Métier])-COUNTIFS(createCase[Métier],"=X")</f>
        <v>168</v>
      </c>
      <c r="AE186" s="225"/>
    </row>
    <row r="187" spans="1:1017" s="128" customFormat="1" ht="12" customHeight="1">
      <c r="A187" s="3"/>
      <c r="B187" s="3"/>
      <c r="C187" s="131"/>
      <c r="D187" s="131"/>
      <c r="E187" s="131"/>
      <c r="F187" s="131"/>
      <c r="G187" s="5"/>
      <c r="H187" s="155"/>
      <c r="I187" s="225"/>
      <c r="J187" s="5"/>
      <c r="K187" s="155"/>
      <c r="L187" s="5"/>
      <c r="M187" s="5"/>
      <c r="N187" s="5"/>
      <c r="O187" s="5"/>
      <c r="P187" s="188"/>
      <c r="Q187" s="5"/>
      <c r="R187" s="5"/>
      <c r="S187" s="5"/>
      <c r="T187" s="56"/>
      <c r="U187" s="56"/>
      <c r="V187" s="56"/>
      <c r="W187" s="56"/>
      <c r="X187"/>
      <c r="Y187" s="178"/>
      <c r="Z187" s="5"/>
      <c r="AA187" s="159"/>
      <c r="AB187" s="56"/>
      <c r="AD187" s="56"/>
      <c r="AE187" s="56"/>
      <c r="AMA187"/>
      <c r="AMB187"/>
      <c r="AMC187"/>
    </row>
    <row r="188" spans="1:1017" s="128" customFormat="1" ht="12" customHeight="1">
      <c r="A188" s="129"/>
      <c r="B188" s="129"/>
      <c r="C188" s="129"/>
      <c r="D188" s="129"/>
      <c r="E188" s="129"/>
      <c r="F188" s="129"/>
      <c r="G188" s="96"/>
      <c r="H188" s="96"/>
      <c r="I188" s="225"/>
      <c r="J188" s="96"/>
      <c r="K188" s="159"/>
      <c r="L188" s="96"/>
      <c r="M188" s="96"/>
      <c r="N188" s="96"/>
      <c r="O188" s="96"/>
      <c r="P188" s="173"/>
      <c r="Q188" s="96"/>
      <c r="R188" s="96"/>
      <c r="S188" s="96"/>
      <c r="T188" s="278"/>
      <c r="U188" s="96"/>
      <c r="V188" s="96"/>
      <c r="W188" s="96"/>
      <c r="X188"/>
      <c r="Y188" s="179"/>
      <c r="Z188" s="96"/>
      <c r="AA188" s="159"/>
      <c r="AB188" s="96"/>
      <c r="AD188" s="96"/>
      <c r="AE188" s="96"/>
      <c r="AMA188"/>
      <c r="AMB188"/>
      <c r="AMC188"/>
    </row>
    <row r="189" spans="1:1017" s="128" customFormat="1" ht="12" customHeight="1">
      <c r="I189" s="224"/>
      <c r="P189" s="174"/>
      <c r="R189" s="96"/>
      <c r="S189" s="96"/>
      <c r="T189" s="278"/>
      <c r="U189" s="96"/>
      <c r="V189" s="96"/>
      <c r="W189" s="96"/>
      <c r="X189"/>
      <c r="Y189" s="179"/>
      <c r="Z189" s="96"/>
      <c r="AA189" s="159"/>
      <c r="AB189" s="96"/>
      <c r="AD189" s="96"/>
      <c r="AE189" s="96"/>
      <c r="AMA189"/>
      <c r="AMB189"/>
      <c r="AMC189"/>
    </row>
    <row r="190" spans="1:1017" s="128" customFormat="1" ht="12" customHeight="1">
      <c r="I190" s="224"/>
      <c r="P190" s="174"/>
      <c r="R190" s="96"/>
      <c r="S190" s="96"/>
      <c r="T190" s="278"/>
      <c r="U190" s="96"/>
      <c r="V190" s="96"/>
      <c r="W190" s="96"/>
      <c r="X190"/>
      <c r="Y190" s="179"/>
      <c r="Z190" s="96"/>
      <c r="AA190" s="159"/>
      <c r="AB190" s="96"/>
      <c r="AD190" s="96"/>
      <c r="AE190" s="96"/>
      <c r="AMA190"/>
      <c r="AMB190"/>
      <c r="AMC190"/>
    </row>
    <row r="191" spans="1:1017" s="128" customFormat="1" ht="12" customHeight="1">
      <c r="I191" s="224"/>
      <c r="P191" s="174"/>
      <c r="R191" s="96"/>
      <c r="S191" s="96"/>
      <c r="T191" s="278"/>
      <c r="U191" s="96"/>
      <c r="V191" s="96"/>
      <c r="W191" s="96"/>
      <c r="X191"/>
      <c r="Y191" s="179"/>
      <c r="Z191" s="96"/>
      <c r="AA191" s="159"/>
      <c r="AB191" s="96"/>
      <c r="AD191" s="96"/>
      <c r="AE191" s="96"/>
      <c r="AMA191"/>
      <c r="AMB191"/>
      <c r="AMC191"/>
    </row>
    <row r="192" spans="1:1017" s="128" customFormat="1" ht="12" customHeight="1">
      <c r="I192" s="224"/>
      <c r="P192" s="174"/>
      <c r="R192" s="96"/>
      <c r="S192" s="96"/>
      <c r="T192" s="278"/>
      <c r="U192" s="96"/>
      <c r="V192" s="96"/>
      <c r="W192" s="96"/>
      <c r="X192"/>
      <c r="Y192" s="179"/>
      <c r="Z192" s="96"/>
      <c r="AA192" s="159"/>
      <c r="AB192" s="96"/>
      <c r="AD192" s="96"/>
      <c r="AE192" s="96"/>
      <c r="AMA192"/>
      <c r="AMB192"/>
      <c r="AMC192"/>
    </row>
    <row r="193" spans="1:1016" ht="12" customHeight="1">
      <c r="G193" s="128"/>
      <c r="H193" s="128"/>
      <c r="I193" s="224"/>
      <c r="J193" s="128"/>
      <c r="K193" s="128"/>
      <c r="L193" s="128"/>
      <c r="M193" s="128"/>
      <c r="N193" s="128"/>
      <c r="O193" s="128"/>
      <c r="P193" s="174"/>
      <c r="Q193" s="128"/>
    </row>
    <row r="194" spans="1:1016" s="117" customFormat="1" ht="12" customHeight="1">
      <c r="A194" s="128"/>
      <c r="B194" s="128"/>
      <c r="C194" s="128"/>
      <c r="D194" s="128"/>
      <c r="E194" s="128"/>
      <c r="F194" s="128"/>
      <c r="G194" s="96"/>
      <c r="H194" s="96"/>
      <c r="I194" s="225"/>
      <c r="J194" s="96"/>
      <c r="K194" s="159"/>
      <c r="L194" s="96"/>
      <c r="M194" s="96"/>
      <c r="N194" s="96"/>
      <c r="O194" s="96"/>
      <c r="P194" s="173"/>
      <c r="Q194" s="96"/>
      <c r="R194" s="96"/>
      <c r="S194" s="96"/>
      <c r="T194" s="278"/>
      <c r="U194" s="96"/>
      <c r="V194" s="96"/>
      <c r="W194" s="96"/>
      <c r="X194"/>
      <c r="Y194" s="179"/>
      <c r="Z194" s="96"/>
      <c r="AA194" s="161"/>
      <c r="AB194" s="96"/>
      <c r="AD194" s="96"/>
      <c r="AE194" s="96"/>
      <c r="AMB194"/>
    </row>
    <row r="195" spans="1:1016" ht="12" customHeight="1">
      <c r="A195" s="117"/>
      <c r="B195" s="117"/>
      <c r="C195" s="117"/>
      <c r="D195" s="117"/>
      <c r="E195" s="117"/>
      <c r="F195" s="117"/>
      <c r="G195" s="117"/>
      <c r="H195" s="117"/>
      <c r="I195" s="251"/>
      <c r="J195" s="117"/>
      <c r="K195" s="117"/>
      <c r="L195" s="117"/>
      <c r="M195" s="117"/>
      <c r="N195" s="117"/>
      <c r="O195" s="117"/>
      <c r="P195" s="189"/>
      <c r="Q195" s="117"/>
    </row>
    <row r="196" spans="1:1016" ht="12" customHeight="1">
      <c r="R196" s="112"/>
      <c r="S196" s="112"/>
      <c r="T196" s="125"/>
      <c r="U196" s="112"/>
      <c r="V196" s="112"/>
      <c r="W196" s="112"/>
      <c r="Y196" s="180"/>
      <c r="Z196" s="112"/>
      <c r="AB196" s="112"/>
      <c r="AD196" s="112"/>
      <c r="AE196" s="112"/>
    </row>
    <row r="208" spans="1:1016" ht="12" customHeight="1">
      <c r="A208" s="130"/>
      <c r="B208" s="130"/>
      <c r="C208" s="130"/>
      <c r="D208" s="130"/>
      <c r="E208" s="130"/>
      <c r="F208" s="130"/>
    </row>
    <row r="209" spans="1:1016" ht="12" customHeight="1">
      <c r="A209" s="130"/>
      <c r="B209" s="130"/>
      <c r="C209" s="130"/>
      <c r="D209" s="130"/>
      <c r="E209" s="130"/>
      <c r="F209" s="130"/>
    </row>
    <row r="210" spans="1:1016" ht="12" customHeight="1">
      <c r="A210" s="130"/>
      <c r="B210" s="130"/>
      <c r="C210" s="130"/>
      <c r="D210" s="130"/>
      <c r="E210" s="130"/>
      <c r="F210" s="130"/>
    </row>
    <row r="211" spans="1:1016" ht="12" customHeight="1">
      <c r="A211" s="130"/>
      <c r="B211" s="130"/>
      <c r="C211" s="130"/>
      <c r="D211" s="130"/>
      <c r="E211" s="130"/>
      <c r="F211" s="130"/>
    </row>
    <row r="212" spans="1:1016" ht="12" customHeight="1">
      <c r="A212" s="130"/>
      <c r="B212" s="130"/>
      <c r="C212" s="130"/>
      <c r="D212" s="130"/>
      <c r="E212" s="130"/>
      <c r="F212" s="130"/>
    </row>
    <row r="213" spans="1:1016" ht="12" customHeight="1">
      <c r="A213" s="130"/>
      <c r="B213" s="130"/>
      <c r="C213" s="130"/>
      <c r="D213" s="130"/>
      <c r="E213" s="130"/>
      <c r="F213" s="130"/>
    </row>
    <row r="214" spans="1:1016" ht="12" customHeight="1">
      <c r="A214" s="130"/>
      <c r="B214" s="130"/>
      <c r="C214" s="130"/>
      <c r="D214" s="130"/>
      <c r="E214" s="130"/>
      <c r="F214" s="130"/>
    </row>
    <row r="215" spans="1:1016" ht="12" customHeight="1">
      <c r="A215" s="130"/>
      <c r="B215" s="130"/>
      <c r="C215" s="130"/>
      <c r="D215" s="130"/>
      <c r="E215" s="130"/>
      <c r="F215" s="130"/>
    </row>
    <row r="216" spans="1:1016" ht="12" customHeight="1">
      <c r="A216" s="129"/>
      <c r="B216" s="129"/>
      <c r="C216" s="129"/>
      <c r="D216" s="129"/>
      <c r="E216" s="129"/>
      <c r="F216" s="129"/>
    </row>
    <row r="217" spans="1:1016" ht="12" customHeight="1">
      <c r="A217" s="129"/>
      <c r="B217" s="129"/>
      <c r="C217" s="129"/>
      <c r="D217" s="129"/>
      <c r="E217" s="129"/>
      <c r="F217" s="129"/>
    </row>
    <row r="218" spans="1:1016" ht="12" customHeight="1">
      <c r="A218" s="129"/>
      <c r="B218" s="129"/>
      <c r="C218" s="129"/>
      <c r="D218" s="129"/>
      <c r="E218" s="129"/>
      <c r="F218" s="129"/>
    </row>
    <row r="219" spans="1:1016" ht="12" customHeight="1">
      <c r="A219" s="129"/>
      <c r="B219" s="129"/>
      <c r="C219" s="129"/>
      <c r="D219" s="129"/>
      <c r="E219" s="129"/>
      <c r="F219" s="129"/>
    </row>
    <row r="220" spans="1:1016" ht="12" customHeight="1">
      <c r="A220" s="129"/>
      <c r="B220" s="129"/>
      <c r="C220" s="129"/>
      <c r="D220" s="129"/>
      <c r="E220" s="129"/>
      <c r="F220" s="129"/>
    </row>
    <row r="221" spans="1:1016" ht="12" customHeight="1">
      <c r="A221" s="129"/>
      <c r="B221" s="129"/>
      <c r="C221" s="129"/>
      <c r="D221" s="129"/>
      <c r="E221" s="129"/>
      <c r="F221" s="129"/>
    </row>
    <row r="222" spans="1:1016" ht="12" customHeight="1">
      <c r="A222" s="129"/>
      <c r="B222" s="129"/>
      <c r="C222" s="129"/>
      <c r="D222" s="129"/>
      <c r="E222" s="129"/>
      <c r="F222" s="129"/>
    </row>
    <row r="223" spans="1:1016" s="117" customFormat="1" ht="12" customHeight="1">
      <c r="A223" s="129"/>
      <c r="B223" s="129"/>
      <c r="C223" s="129"/>
      <c r="D223" s="129"/>
      <c r="E223" s="129"/>
      <c r="F223" s="129"/>
      <c r="G223" s="96"/>
      <c r="H223" s="96"/>
      <c r="I223" s="225"/>
      <c r="J223" s="96"/>
      <c r="K223" s="159"/>
      <c r="L223" s="96"/>
      <c r="M223" s="96"/>
      <c r="N223" s="96"/>
      <c r="O223" s="96"/>
      <c r="P223" s="173"/>
      <c r="Q223" s="96"/>
      <c r="R223" s="96"/>
      <c r="S223" s="96"/>
      <c r="T223" s="278"/>
      <c r="U223" s="96"/>
      <c r="V223" s="96"/>
      <c r="W223" s="96"/>
      <c r="X223"/>
      <c r="Y223" s="179"/>
      <c r="Z223" s="96"/>
      <c r="AA223" s="161"/>
      <c r="AB223" s="96"/>
      <c r="AD223" s="96"/>
      <c r="AE223" s="96"/>
      <c r="AMB223"/>
    </row>
    <row r="224" spans="1:1016" s="117" customFormat="1" ht="12" customHeight="1">
      <c r="A224" s="130"/>
      <c r="B224" s="130"/>
      <c r="C224" s="130"/>
      <c r="D224" s="130"/>
      <c r="E224" s="130"/>
      <c r="F224" s="130"/>
      <c r="G224" s="96"/>
      <c r="H224" s="96"/>
      <c r="I224" s="225"/>
      <c r="J224" s="96"/>
      <c r="K224" s="159"/>
      <c r="L224" s="96"/>
      <c r="M224" s="96"/>
      <c r="N224" s="96"/>
      <c r="O224" s="96"/>
      <c r="P224" s="173"/>
      <c r="Q224" s="96"/>
      <c r="R224" s="96"/>
      <c r="S224" s="96"/>
      <c r="T224" s="278"/>
      <c r="U224" s="96"/>
      <c r="V224" s="96"/>
      <c r="W224" s="96"/>
      <c r="X224"/>
      <c r="Y224" s="179"/>
      <c r="Z224" s="96"/>
      <c r="AA224" s="161"/>
      <c r="AB224" s="96"/>
      <c r="AD224" s="96"/>
      <c r="AE224" s="96"/>
      <c r="AMB224"/>
    </row>
    <row r="225" spans="1:1016" s="117" customFormat="1" ht="12" customHeight="1">
      <c r="A225" s="123"/>
      <c r="B225" s="123"/>
      <c r="C225" s="123"/>
      <c r="D225" s="123"/>
      <c r="E225" s="123"/>
      <c r="F225" s="123"/>
      <c r="G225" s="112"/>
      <c r="H225" s="112"/>
      <c r="I225" s="277"/>
      <c r="J225" s="112"/>
      <c r="K225" s="161"/>
      <c r="L225" s="112"/>
      <c r="M225" s="112"/>
      <c r="N225" s="112"/>
      <c r="O225" s="112"/>
      <c r="P225" s="190"/>
      <c r="Q225" s="112"/>
      <c r="R225" s="112"/>
      <c r="S225" s="112"/>
      <c r="T225" s="125"/>
      <c r="U225" s="112"/>
      <c r="V225" s="112"/>
      <c r="W225" s="112"/>
      <c r="X225"/>
      <c r="Y225" s="180"/>
      <c r="Z225" s="112"/>
      <c r="AA225" s="161"/>
      <c r="AB225" s="112"/>
      <c r="AD225" s="112"/>
      <c r="AE225" s="112"/>
      <c r="AMB225"/>
    </row>
    <row r="226" spans="1:1016" s="117" customFormat="1" ht="12" customHeight="1">
      <c r="A226" s="123"/>
      <c r="B226" s="123"/>
      <c r="C226" s="123"/>
      <c r="D226" s="123"/>
      <c r="E226" s="123"/>
      <c r="F226" s="123"/>
      <c r="G226" s="112"/>
      <c r="H226" s="112"/>
      <c r="I226" s="277"/>
      <c r="J226" s="112"/>
      <c r="K226" s="161"/>
      <c r="L226" s="112"/>
      <c r="M226" s="112"/>
      <c r="N226" s="112"/>
      <c r="O226" s="112"/>
      <c r="P226" s="190"/>
      <c r="Q226" s="112"/>
      <c r="R226" s="112"/>
      <c r="S226" s="112"/>
      <c r="T226" s="125"/>
      <c r="U226" s="112"/>
      <c r="V226" s="112"/>
      <c r="W226" s="112"/>
      <c r="X226"/>
      <c r="Y226" s="180"/>
      <c r="Z226" s="112"/>
      <c r="AA226" s="161"/>
      <c r="AB226" s="112"/>
      <c r="AD226" s="112"/>
      <c r="AE226" s="112"/>
      <c r="AMB226"/>
    </row>
    <row r="227" spans="1:1016" s="117" customFormat="1" ht="12" customHeight="1">
      <c r="A227" s="123"/>
      <c r="B227" s="123"/>
      <c r="C227" s="123"/>
      <c r="D227" s="123"/>
      <c r="E227" s="123"/>
      <c r="F227" s="123"/>
      <c r="G227" s="112"/>
      <c r="H227" s="112"/>
      <c r="I227" s="277"/>
      <c r="J227" s="112"/>
      <c r="K227" s="161"/>
      <c r="L227" s="112"/>
      <c r="M227" s="112"/>
      <c r="N227" s="112"/>
      <c r="O227" s="112"/>
      <c r="P227" s="190"/>
      <c r="Q227" s="112"/>
      <c r="R227" s="112"/>
      <c r="S227" s="112"/>
      <c r="T227" s="125"/>
      <c r="U227" s="112"/>
      <c r="V227" s="112"/>
      <c r="W227" s="112"/>
      <c r="X227"/>
      <c r="Y227" s="180"/>
      <c r="Z227" s="112"/>
      <c r="AA227" s="161"/>
      <c r="AB227" s="112"/>
      <c r="AD227" s="112"/>
      <c r="AE227" s="112"/>
      <c r="AMB227"/>
    </row>
    <row r="228" spans="1:1016" s="117" customFormat="1" ht="12" customHeight="1">
      <c r="A228" s="123"/>
      <c r="B228" s="123"/>
      <c r="C228" s="123"/>
      <c r="D228" s="123"/>
      <c r="E228" s="123"/>
      <c r="F228" s="123"/>
      <c r="G228" s="112"/>
      <c r="H228" s="112"/>
      <c r="I228" s="277"/>
      <c r="J228" s="112"/>
      <c r="K228" s="161"/>
      <c r="L228" s="112"/>
      <c r="M228" s="112"/>
      <c r="N228" s="112"/>
      <c r="O228" s="112"/>
      <c r="P228" s="190"/>
      <c r="Q228" s="112"/>
      <c r="R228" s="112"/>
      <c r="S228" s="112"/>
      <c r="T228" s="125"/>
      <c r="U228" s="112"/>
      <c r="V228" s="112"/>
      <c r="W228" s="112"/>
      <c r="X228"/>
      <c r="Y228" s="180"/>
      <c r="Z228" s="112"/>
      <c r="AA228" s="161"/>
      <c r="AB228" s="112"/>
      <c r="AD228" s="112"/>
      <c r="AE228" s="112"/>
      <c r="AMB228"/>
    </row>
    <row r="229" spans="1:1016" s="117" customFormat="1" ht="12" customHeight="1">
      <c r="A229" s="123"/>
      <c r="B229" s="123"/>
      <c r="C229" s="123"/>
      <c r="D229" s="123"/>
      <c r="E229" s="123"/>
      <c r="F229" s="123"/>
      <c r="G229" s="112"/>
      <c r="H229" s="112"/>
      <c r="I229" s="277"/>
      <c r="J229" s="112"/>
      <c r="K229" s="161"/>
      <c r="L229" s="112"/>
      <c r="M229" s="112"/>
      <c r="N229" s="112"/>
      <c r="O229" s="112"/>
      <c r="P229" s="190"/>
      <c r="Q229" s="112"/>
      <c r="R229" s="112"/>
      <c r="S229" s="112"/>
      <c r="T229" s="125"/>
      <c r="U229" s="112"/>
      <c r="V229" s="112"/>
      <c r="W229" s="112"/>
      <c r="X229"/>
      <c r="Y229" s="180"/>
      <c r="Z229" s="112"/>
      <c r="AA229" s="161"/>
      <c r="AB229" s="112"/>
      <c r="AD229" s="112"/>
      <c r="AE229" s="112"/>
      <c r="AMB229"/>
    </row>
    <row r="230" spans="1:1016" ht="12" customHeight="1">
      <c r="A230" s="123"/>
      <c r="B230" s="123"/>
      <c r="C230" s="123"/>
      <c r="D230" s="123"/>
      <c r="E230" s="123"/>
      <c r="F230" s="123"/>
      <c r="G230" s="112"/>
      <c r="H230" s="112"/>
      <c r="I230" s="277"/>
      <c r="J230" s="112"/>
      <c r="K230" s="161"/>
      <c r="L230" s="112"/>
      <c r="M230" s="112"/>
      <c r="N230" s="112"/>
      <c r="O230" s="112"/>
      <c r="P230" s="190"/>
      <c r="Q230" s="112"/>
      <c r="R230" s="112"/>
      <c r="S230" s="112"/>
      <c r="T230" s="125"/>
      <c r="U230" s="112"/>
      <c r="V230" s="112"/>
      <c r="W230" s="112"/>
      <c r="Y230" s="180"/>
      <c r="Z230" s="112"/>
      <c r="AB230" s="112"/>
      <c r="AD230" s="112"/>
      <c r="AE230" s="112"/>
    </row>
    <row r="231" spans="1:1016" ht="12" customHeight="1">
      <c r="A231" s="123"/>
      <c r="B231" s="123"/>
      <c r="C231" s="123"/>
      <c r="D231" s="123"/>
      <c r="E231" s="123"/>
      <c r="F231" s="123"/>
      <c r="G231" s="112"/>
      <c r="H231" s="112"/>
      <c r="I231" s="277"/>
      <c r="J231" s="112"/>
      <c r="K231" s="161"/>
      <c r="L231" s="112"/>
      <c r="M231" s="112"/>
      <c r="N231" s="112"/>
      <c r="O231" s="112"/>
      <c r="P231" s="190"/>
      <c r="Q231" s="112"/>
      <c r="R231" s="112"/>
      <c r="S231" s="112"/>
      <c r="T231" s="125"/>
      <c r="U231" s="112"/>
      <c r="V231" s="112"/>
      <c r="W231" s="112"/>
      <c r="Y231" s="180"/>
      <c r="Z231" s="112"/>
      <c r="AB231" s="112"/>
      <c r="AD231" s="112"/>
      <c r="AE231" s="112"/>
    </row>
    <row r="232" spans="1:1016" ht="12" customHeight="1">
      <c r="A232" s="130"/>
      <c r="B232" s="130"/>
      <c r="C232" s="130"/>
      <c r="D232" s="130"/>
      <c r="E232" s="130"/>
      <c r="F232" s="130"/>
    </row>
    <row r="233" spans="1:1016" ht="12" customHeight="1">
      <c r="A233" s="130"/>
      <c r="B233" s="130"/>
      <c r="C233" s="130"/>
      <c r="D233" s="130"/>
      <c r="E233" s="130"/>
      <c r="F233" s="130"/>
    </row>
    <row r="234" spans="1:1016" ht="12" customHeight="1">
      <c r="A234" s="130"/>
      <c r="B234" s="130"/>
      <c r="C234" s="130"/>
      <c r="D234" s="130"/>
      <c r="E234" s="130"/>
      <c r="F234" s="130"/>
    </row>
    <row r="235" spans="1:1016" ht="12" customHeight="1">
      <c r="A235" s="136"/>
      <c r="B235" s="136"/>
      <c r="C235" s="136"/>
      <c r="D235" s="136"/>
      <c r="E235" s="136"/>
      <c r="F235" s="136"/>
    </row>
    <row r="236" spans="1:1016" ht="12" customHeight="1">
      <c r="A236" s="136"/>
      <c r="B236" s="136"/>
      <c r="C236" s="136"/>
      <c r="D236" s="136"/>
      <c r="E236" s="136"/>
      <c r="F236" s="136"/>
    </row>
  </sheetData>
  <mergeCells count="5">
    <mergeCell ref="H1:J2"/>
    <mergeCell ref="O1:P1"/>
    <mergeCell ref="L7:O7"/>
    <mergeCell ref="AC7:AD7"/>
    <mergeCell ref="V7:W7"/>
  </mergeCells>
  <phoneticPr fontId="79" type="noConversion"/>
  <conditionalFormatting sqref="A187:F188 A208:F1048">
    <cfRule type="expression" dxfId="799" priority="440">
      <formula>$AD187=1</formula>
    </cfRule>
    <cfRule type="expression" dxfId="798" priority="441">
      <formula>$AB187=1</formula>
    </cfRule>
    <cfRule type="expression" dxfId="797" priority="439">
      <formula>AND($AD187=1,$AB187=1)</formula>
    </cfRule>
    <cfRule type="expression" dxfId="796" priority="438">
      <formula>OR($AD187="X",$AB187="X")</formula>
    </cfRule>
  </conditionalFormatting>
  <conditionalFormatting sqref="A9:G9 A10:A185 B26:G34 D34:D36 B35:B36 F35:G36 B98:G121 E121:G125 B122:C132 F126:G127 E128:G132 E134:G147 B148:G159 D160:G160 B160:D165 F161:G165 B166:G185 B37:G83 B85:G96">
    <cfRule type="expression" dxfId="795" priority="822">
      <formula>$AC9=1</formula>
    </cfRule>
  </conditionalFormatting>
  <conditionalFormatting sqref="A9:G9 A10:A185 D34:D36 B35:B36 F35:G36 E121:G125 B122:C132 F126:G127 E128:G132 E134:G147 B148:G159 D160:G160 B160:D165 F161:G165 B166:G185">
    <cfRule type="expression" dxfId="794" priority="821">
      <formula>$AD9=1</formula>
    </cfRule>
  </conditionalFormatting>
  <conditionalFormatting sqref="A9:G9 B35:B36 E121:G125 B122:C132 F126:G127 E128:G132 E134:G147 B148:G159 B166:G185 D34:D36 D160:G160 B160:D165 A10:A185 F35:G36 F161:G165">
    <cfRule type="expression" dxfId="793" priority="820">
      <formula>AND($AD9=1,$AC9=1)</formula>
    </cfRule>
  </conditionalFormatting>
  <conditionalFormatting sqref="A9:G12 B13:G33 A13:A185 D34:G34 B34:D36 F35:G36 B37:G125 B126:D127 F126:G127 B128:G132 B134:G159 D160:G160 B160:D165 F161:G165 B166:G185">
    <cfRule type="expression" dxfId="792" priority="823">
      <formula>AND(NOT(ISBLANK($W9)),ISBLANK($AC9),ISBLANK($AD9))</formula>
    </cfRule>
  </conditionalFormatting>
  <conditionalFormatting sqref="B114:B117">
    <cfRule type="expression" dxfId="791" priority="300">
      <formula>AND($R114="X",#REF!&lt;&gt;"")</formula>
    </cfRule>
  </conditionalFormatting>
  <conditionalFormatting sqref="B158 B160:B165">
    <cfRule type="expression" dxfId="790" priority="1037">
      <formula>AND($R158="X",#REF!&lt;&gt;"")</formula>
    </cfRule>
  </conditionalFormatting>
  <conditionalFormatting sqref="B133:C147 B148:G159 B166:G185 B26:G33 D160:G160 B160:D165 D34:D36 A10:A185 B34:C34 F35:G36 E133:G133 F161:G165">
    <cfRule type="expression" dxfId="789" priority="167">
      <formula>OR($AD10="X",$AC10="X")</formula>
    </cfRule>
  </conditionalFormatting>
  <conditionalFormatting sqref="B10:G25 D122:D131 E132">
    <cfRule type="expression" dxfId="788" priority="279">
      <formula>OR($AD10="X",$AC10="X")</formula>
    </cfRule>
    <cfRule type="expression" dxfId="787" priority="282">
      <formula>$AC10=1</formula>
    </cfRule>
  </conditionalFormatting>
  <conditionalFormatting sqref="B10:G33 B34:D34 D122:D131 E132">
    <cfRule type="expression" dxfId="786" priority="281">
      <formula>$AD10=1</formula>
    </cfRule>
  </conditionalFormatting>
  <conditionalFormatting sqref="B10:G33 D122:D131 E132 B34:D34">
    <cfRule type="expression" dxfId="785" priority="280">
      <formula>AND($AD10=1,$AC10=1)</formula>
    </cfRule>
  </conditionalFormatting>
  <conditionalFormatting sqref="B37:G121 E121:G125 E128:G132 F126:G127 E134:G147 A9:G9 B122:C132 B35:B36">
    <cfRule type="expression" dxfId="784" priority="819">
      <formula>OR($AD9="X",$AC9="X")</formula>
    </cfRule>
  </conditionalFormatting>
  <conditionalFormatting sqref="B37:G121">
    <cfRule type="expression" dxfId="783" priority="298">
      <formula>$AD37=1</formula>
    </cfRule>
    <cfRule type="expression" dxfId="782" priority="297">
      <formula>AND($AD37=1,$AC37=1)</formula>
    </cfRule>
  </conditionalFormatting>
  <conditionalFormatting sqref="B133:G133">
    <cfRule type="expression" dxfId="781" priority="175">
      <formula>AND(NOT(ISBLANK($W133)),ISBLANK($AC133),ISBLANK($AD133))</formula>
    </cfRule>
  </conditionalFormatting>
  <conditionalFormatting sqref="C34 D34:D36">
    <cfRule type="expression" dxfId="780" priority="1075">
      <formula>AND($R34="X",OR($B34&lt;&gt;"",#REF!&lt;&gt;""))</formula>
    </cfRule>
  </conditionalFormatting>
  <conditionalFormatting sqref="C35:C36">
    <cfRule type="expression" dxfId="779" priority="32">
      <formula>$AC35=1</formula>
    </cfRule>
    <cfRule type="expression" dxfId="778" priority="27">
      <formula>AND($R35="X",OR(#REF!&lt;&gt;"",$B35&lt;&gt;""))</formula>
    </cfRule>
    <cfRule type="expression" dxfId="777" priority="29">
      <formula>OR($AD35="X",$AC35="X")</formula>
    </cfRule>
    <cfRule type="expression" dxfId="776" priority="30">
      <formula>AND($AD35=1,$AC35=1)</formula>
    </cfRule>
    <cfRule type="expression" dxfId="775" priority="31">
      <formula>$AD35=1</formula>
    </cfRule>
  </conditionalFormatting>
  <conditionalFormatting sqref="C133">
    <cfRule type="expression" dxfId="774" priority="154">
      <formula>OR($AD133="X",$AC133="X")</formula>
    </cfRule>
    <cfRule type="expression" dxfId="773" priority="155">
      <formula>AND($AD133=1,$AC133=1)</formula>
    </cfRule>
    <cfRule type="expression" dxfId="772" priority="156">
      <formula>$AD133=1</formula>
    </cfRule>
    <cfRule type="expression" dxfId="771" priority="157">
      <formula>$AC133=1</formula>
    </cfRule>
  </conditionalFormatting>
  <conditionalFormatting sqref="C159">
    <cfRule type="expression" dxfId="770" priority="71">
      <formula>OR($AD159="X",$AC159="X")</formula>
    </cfRule>
    <cfRule type="expression" dxfId="769" priority="72">
      <formula>AND($AD159=1,$AC159=1)</formula>
    </cfRule>
    <cfRule type="expression" dxfId="768" priority="73">
      <formula>$AD159=1</formula>
    </cfRule>
    <cfRule type="expression" dxfId="767" priority="74">
      <formula>AND($R159="X",$B159&lt;&gt;"")</formula>
    </cfRule>
  </conditionalFormatting>
  <conditionalFormatting sqref="C160:C165">
    <cfRule type="expression" dxfId="766" priority="1039">
      <formula>AND($R160="X",OR(#REF!&lt;&gt;"",$B160&lt;&gt;""))</formula>
    </cfRule>
  </conditionalFormatting>
  <conditionalFormatting sqref="C161">
    <cfRule type="expression" dxfId="765" priority="143">
      <formula>OR($AD161="X",$AC161="X")</formula>
    </cfRule>
  </conditionalFormatting>
  <conditionalFormatting sqref="C166:C167 D132:E132 C9:C33 C148:C157 C178:C185 C37:C113 C118:C132 D124:D131">
    <cfRule type="expression" dxfId="764" priority="275">
      <formula>AND($R9="X",$B9&lt;&gt;"")</formula>
    </cfRule>
  </conditionalFormatting>
  <conditionalFormatting sqref="C167">
    <cfRule type="expression" dxfId="763" priority="223">
      <formula>$AD167=1</formula>
    </cfRule>
    <cfRule type="expression" dxfId="762" priority="222">
      <formula>AND($AD167=1,$AC167=1)</formula>
    </cfRule>
    <cfRule type="expression" dxfId="761" priority="221">
      <formula>OR($AD167="X",$AC167="X")</formula>
    </cfRule>
  </conditionalFormatting>
  <conditionalFormatting sqref="C168:C177">
    <cfRule type="expression" dxfId="760" priority="984">
      <formula>AND($R168="X",OR($B168&lt;&gt;"",#REF!&lt;&gt;""))</formula>
    </cfRule>
  </conditionalFormatting>
  <conditionalFormatting sqref="C173">
    <cfRule type="expression" dxfId="759" priority="2">
      <formula>AND($AD173=1,$AC173=1)</formula>
    </cfRule>
    <cfRule type="expression" dxfId="758" priority="3">
      <formula>$AD173=1</formula>
    </cfRule>
    <cfRule type="expression" dxfId="757" priority="4">
      <formula>AND($R173="X",$B173&lt;&gt;"")</formula>
    </cfRule>
    <cfRule type="expression" dxfId="756" priority="1">
      <formula>OR($AD173="X",$AC173="X")</formula>
    </cfRule>
  </conditionalFormatting>
  <conditionalFormatting sqref="C115:D117">
    <cfRule type="expression" dxfId="755" priority="301">
      <formula>AND($R115="X",OR(#REF!&lt;&gt;"",$B115&lt;&gt;""))</formula>
    </cfRule>
  </conditionalFormatting>
  <conditionalFormatting sqref="C133:D147">
    <cfRule type="expression" dxfId="754" priority="162">
      <formula>AND($R133="X",$B133&lt;&gt;"")</formula>
    </cfRule>
  </conditionalFormatting>
  <conditionalFormatting sqref="C114:G114">
    <cfRule type="expression" dxfId="753" priority="285">
      <formula>AND($R114="X",$B114&lt;&gt;"")</formula>
    </cfRule>
  </conditionalFormatting>
  <conditionalFormatting sqref="D9:D33 C158:G158">
    <cfRule type="expression" dxfId="752" priority="78">
      <formula>AND($R9="X",OR($B9&lt;&gt;"",$C9&lt;&gt;""))</formula>
    </cfRule>
  </conditionalFormatting>
  <conditionalFormatting sqref="D24:D25">
    <cfRule type="expression" dxfId="751" priority="176">
      <formula>AND($R24="X",$B24&lt;&gt;"")</formula>
    </cfRule>
  </conditionalFormatting>
  <conditionalFormatting sqref="D34">
    <cfRule type="expression" dxfId="750" priority="1086">
      <formula>$AC34=1</formula>
    </cfRule>
    <cfRule type="expression" dxfId="749" priority="1085">
      <formula>AND($R34="X",OR($B34&lt;&gt;"",#REF!&lt;&gt;"",$D34&lt;&gt;"",#REF!&lt;&gt;""))</formula>
    </cfRule>
    <cfRule type="expression" dxfId="748" priority="1084">
      <formula>AND($R34="X",OR($B34&lt;&gt;"",#REF!&lt;&gt;"",$C34&lt;&gt;"",$D34&lt;&gt;""))</formula>
    </cfRule>
    <cfRule type="expression" dxfId="747" priority="1082">
      <formula>AND($R34="X",OR($B34&lt;&gt;"",#REF!&lt;&gt;"",$C34&lt;&gt;""))</formula>
    </cfRule>
    <cfRule type="expression" dxfId="746" priority="1091">
      <formula>AND($R34="X",OR($B34&lt;&gt;"",#REF!&lt;&gt;""))</formula>
    </cfRule>
    <cfRule type="expression" dxfId="745" priority="1090">
      <formula>AND($R34="X",$B34&lt;&gt;"")</formula>
    </cfRule>
    <cfRule type="expression" dxfId="744" priority="1089">
      <formula>$AD34=1</formula>
    </cfRule>
    <cfRule type="expression" dxfId="743" priority="1088">
      <formula>AND($AD34=1,$AC34=1)</formula>
    </cfRule>
    <cfRule type="expression" dxfId="742" priority="1087">
      <formula>AND($R34="X",OR($B34&lt;&gt;"",#REF!&lt;&gt;"",$C34&lt;&gt;""))</formula>
    </cfRule>
  </conditionalFormatting>
  <conditionalFormatting sqref="D115 D178:D185">
    <cfRule type="expression" dxfId="741" priority="145">
      <formula>AND($R115="X",OR($B115&lt;&gt;"",$C115&lt;&gt;""))</formula>
    </cfRule>
  </conditionalFormatting>
  <conditionalFormatting sqref="D118:D121 D120:G120 D166:D167 D154:D157 C178">
    <cfRule type="expression" dxfId="740" priority="308">
      <formula>AND($R118="X",OR($B118&lt;&gt;"",$C118&lt;&gt;""))</formula>
    </cfRule>
  </conditionalFormatting>
  <conditionalFormatting sqref="D122:D123">
    <cfRule type="expression" dxfId="739" priority="252">
      <formula>AND($R122="X",OR(#REF!&lt;&gt;"",$B122&lt;&gt;""))</formula>
    </cfRule>
  </conditionalFormatting>
  <conditionalFormatting sqref="D132">
    <cfRule type="expression" dxfId="738" priority="213">
      <formula>OR($AD132="X",$AC132="X")</formula>
    </cfRule>
    <cfRule type="expression" dxfId="737" priority="215">
      <formula>$AD132=1</formula>
    </cfRule>
    <cfRule type="expression" dxfId="736" priority="214">
      <formula>AND($AD132=1,$AC132=1)</formula>
    </cfRule>
  </conditionalFormatting>
  <conditionalFormatting sqref="D132:D147">
    <cfRule type="expression" dxfId="735" priority="166">
      <formula>$AC132=1</formula>
    </cfRule>
  </conditionalFormatting>
  <conditionalFormatting sqref="D133">
    <cfRule type="expression" dxfId="734" priority="153">
      <formula>$AC133=1</formula>
    </cfRule>
    <cfRule type="expression" dxfId="733" priority="152">
      <formula>$AD133=1</formula>
    </cfRule>
    <cfRule type="expression" dxfId="732" priority="151">
      <formula>AND($AD133=1,$AC133=1)</formula>
    </cfRule>
    <cfRule type="expression" dxfId="731" priority="150">
      <formula>AND($R133="X",OR($B133&lt;&gt;"",$C133&lt;&gt;"",$D133&lt;&gt;""))</formula>
    </cfRule>
    <cfRule type="expression" dxfId="730" priority="149">
      <formula>OR($AD133="X",$AC133="X")</formula>
    </cfRule>
  </conditionalFormatting>
  <conditionalFormatting sqref="D133:D147">
    <cfRule type="expression" dxfId="729" priority="165">
      <formula>$AD133=1</formula>
    </cfRule>
    <cfRule type="expression" dxfId="728" priority="163">
      <formula>OR($AD133="X",$AC133="X")</formula>
    </cfRule>
    <cfRule type="expression" dxfId="727" priority="164">
      <formula>AND($AD133=1,$AC133=1)</formula>
    </cfRule>
  </conditionalFormatting>
  <conditionalFormatting sqref="D148:D152 E121:E123 D37:D113">
    <cfRule type="expression" dxfId="726" priority="270">
      <formula>AND($R37="X",OR($B37&lt;&gt;"",$C37&lt;&gt;""))</formula>
    </cfRule>
  </conditionalFormatting>
  <conditionalFormatting sqref="D153">
    <cfRule type="expression" dxfId="725" priority="836">
      <formula>AND($R153="X",OR($B153&lt;&gt;"",#REF!&lt;&gt;""))</formula>
    </cfRule>
  </conditionalFormatting>
  <conditionalFormatting sqref="D157">
    <cfRule type="expression" dxfId="724" priority="205">
      <formula>AND($AD157=1,$AC157=1)</formula>
    </cfRule>
    <cfRule type="expression" dxfId="723" priority="206">
      <formula>$AD157=1</formula>
    </cfRule>
    <cfRule type="expression" dxfId="722" priority="207">
      <formula>AND($R157="X",OR($B157&lt;&gt;"",$C157&lt;&gt;"",$D157&lt;&gt;""))</formula>
    </cfRule>
    <cfRule type="expression" dxfId="721" priority="198">
      <formula>AND($R157="X",OR($B157&lt;&gt;"",$C157&lt;&gt;"",$D157&lt;&gt;"",$E157&lt;&gt;""))</formula>
    </cfRule>
    <cfRule type="expression" dxfId="720" priority="197">
      <formula>$AC157=1</formula>
    </cfRule>
    <cfRule type="expression" dxfId="719" priority="199">
      <formula>AND($AD157=1,$AC157=1)</formula>
    </cfRule>
    <cfRule type="expression" dxfId="718" priority="200">
      <formula>$AD157=1</formula>
    </cfRule>
    <cfRule type="expression" dxfId="717" priority="201">
      <formula>AND($R157="X",OR($B157&lt;&gt;"",$C157&lt;&gt;"",$D157&lt;&gt;""))</formula>
    </cfRule>
    <cfRule type="expression" dxfId="716" priority="203">
      <formula>$AC157=1</formula>
    </cfRule>
    <cfRule type="expression" dxfId="715" priority="61">
      <formula>AND($R157="X",OR($B157&lt;&gt;"",$C157&lt;&gt;""))</formula>
    </cfRule>
    <cfRule type="expression" dxfId="714" priority="204">
      <formula>AND($R157="X",OR($B157&lt;&gt;"",$C157&lt;&gt;"",$D157&lt;&gt;"",$E157&lt;&gt;""))</formula>
    </cfRule>
  </conditionalFormatting>
  <conditionalFormatting sqref="D159">
    <cfRule type="expression" dxfId="713" priority="75">
      <formula>AND($R159="X",OR($B159&lt;&gt;"",$C159&lt;&gt;""))</formula>
    </cfRule>
    <cfRule type="expression" dxfId="712" priority="70">
      <formula>$AD159=1</formula>
    </cfRule>
    <cfRule type="expression" dxfId="711" priority="69">
      <formula>AND($AD159=1,$AC159=1)</formula>
    </cfRule>
    <cfRule type="expression" dxfId="710" priority="67">
      <formula>AND($R159="X",$B159&lt;&gt;"")</formula>
    </cfRule>
    <cfRule type="expression" dxfId="709" priority="48">
      <formula>AND($R159="X",OR($B159&lt;&gt;"",$C159&lt;&gt;""))</formula>
    </cfRule>
    <cfRule type="expression" dxfId="708" priority="51">
      <formula>AND($R159="X",OR($B159&lt;&gt;"",$C159&lt;&gt;"",$D159&lt;&gt;"",$E159&lt;&gt;""))</formula>
    </cfRule>
    <cfRule type="expression" dxfId="707" priority="52">
      <formula>AND($AD159=1,$AC159=1)</formula>
    </cfRule>
    <cfRule type="expression" dxfId="706" priority="53">
      <formula>$AD159=1</formula>
    </cfRule>
    <cfRule type="expression" dxfId="705" priority="54">
      <formula>AND($R159="X",OR($B159&lt;&gt;"",$C159&lt;&gt;"",$D159&lt;&gt;""))</formula>
    </cfRule>
    <cfRule type="expression" dxfId="704" priority="50">
      <formula>$AC159=1</formula>
    </cfRule>
    <cfRule type="expression" dxfId="703" priority="55">
      <formula>$AC159=1</formula>
    </cfRule>
    <cfRule type="expression" dxfId="702" priority="56">
      <formula>AND($R159="X",OR($B159&lt;&gt;"",$C159&lt;&gt;"",$D159&lt;&gt;"",$E159&lt;&gt;""))</formula>
    </cfRule>
    <cfRule type="expression" dxfId="701" priority="57">
      <formula>AND($AD159=1,$AC159=1)</formula>
    </cfRule>
    <cfRule type="expression" dxfId="700" priority="58">
      <formula>$AD159=1</formula>
    </cfRule>
    <cfRule type="expression" dxfId="699" priority="59">
      <formula>AND($R159="X",OR($B159&lt;&gt;"",$C159&lt;&gt;"",$D159&lt;&gt;""))</formula>
    </cfRule>
    <cfRule type="expression" dxfId="698" priority="60">
      <formula>AND($R159="X",OR($B159&lt;&gt;"",$C159&lt;&gt;""))</formula>
    </cfRule>
    <cfRule type="expression" dxfId="697" priority="64">
      <formula>OR($AD159="X",$AC159="X")</formula>
    </cfRule>
  </conditionalFormatting>
  <conditionalFormatting sqref="D159:D161">
    <cfRule type="expression" dxfId="696" priority="68">
      <formula>OR($AD159="X",$AC159="X")</formula>
    </cfRule>
  </conditionalFormatting>
  <conditionalFormatting sqref="D160:D161">
    <cfRule type="expression" dxfId="695" priority="225">
      <formula>AND($AD160=1,$AC160=1)</formula>
    </cfRule>
    <cfRule type="expression" dxfId="694" priority="228">
      <formula>AND($R160="X",#REF!&lt;&gt;"")</formula>
    </cfRule>
    <cfRule type="expression" dxfId="693" priority="227">
      <formula>$AC160=1</formula>
    </cfRule>
    <cfRule type="expression" dxfId="692" priority="226">
      <formula>$AD160=1</formula>
    </cfRule>
  </conditionalFormatting>
  <conditionalFormatting sqref="D160:D165">
    <cfRule type="expression" dxfId="691" priority="1041">
      <formula>AND($R160="X",OR(#REF!&lt;&gt;"",$B160&lt;&gt;"",$C160&lt;&gt;""))</formula>
    </cfRule>
  </conditionalFormatting>
  <conditionalFormatting sqref="D167">
    <cfRule type="expression" dxfId="690" priority="220">
      <formula>$AD167=1</formula>
    </cfRule>
    <cfRule type="expression" dxfId="689" priority="219">
      <formula>AND($AD167=1,$AC167=1)</formula>
    </cfRule>
    <cfRule type="expression" dxfId="688" priority="218">
      <formula>OR($AD167="X",$AC167="X")</formula>
    </cfRule>
    <cfRule type="expression" dxfId="687" priority="217">
      <formula>AND($R167="X",$B167&lt;&gt;"")</formula>
    </cfRule>
  </conditionalFormatting>
  <conditionalFormatting sqref="D168:D177">
    <cfRule type="expression" dxfId="686" priority="1004">
      <formula>AND($R168="X",OR($B168&lt;&gt;"",#REF!&lt;&gt;"",$C168&lt;&gt;""))</formula>
    </cfRule>
  </conditionalFormatting>
  <conditionalFormatting sqref="D120:E120">
    <cfRule type="expression" dxfId="685" priority="100">
      <formula>AND($R120="X",OR($B120&lt;&gt;"",$C120&lt;&gt;"",$D120&lt;&gt;"",$E120&lt;&gt;""))</formula>
    </cfRule>
    <cfRule type="expression" dxfId="684" priority="101">
      <formula>AND($R120="X",OR($B120&lt;&gt;"",$C120&lt;&gt;"",$E120&lt;&gt;"",#REF!&lt;&gt;""))</formula>
    </cfRule>
    <cfRule type="expression" dxfId="683" priority="102">
      <formula>$AC120=1</formula>
    </cfRule>
    <cfRule type="expression" dxfId="682" priority="103">
      <formula>AND($R120="X",OR($B120&lt;&gt;"",$C120&lt;&gt;"",$D120&lt;&gt;""))</formula>
    </cfRule>
    <cfRule type="expression" dxfId="681" priority="104">
      <formula>AND($AD120=1,$AC120=1)</formula>
    </cfRule>
    <cfRule type="expression" dxfId="680" priority="105">
      <formula>$AD120=1</formula>
    </cfRule>
  </conditionalFormatting>
  <conditionalFormatting sqref="D34:G34">
    <cfRule type="expression" dxfId="679" priority="7">
      <formula>$AD34=1</formula>
    </cfRule>
    <cfRule type="expression" dxfId="678" priority="8">
      <formula>OR($AD34="X",$AC34="X")</formula>
    </cfRule>
    <cfRule type="expression" dxfId="677" priority="6">
      <formula>AND($AD34=1,$AC34=1)</formula>
    </cfRule>
    <cfRule type="expression" dxfId="676" priority="5">
      <formula>AND($R34="X",OR($B34&lt;&gt;"",$C34&lt;&gt;"",$D34&lt;&gt;"",$E34&lt;&gt;"",$F34&lt;&gt;""))</formula>
    </cfRule>
  </conditionalFormatting>
  <conditionalFormatting sqref="D118:G118">
    <cfRule type="expression" dxfId="675" priority="116">
      <formula>AND($R118="X",$B118&lt;&gt;"")</formula>
    </cfRule>
  </conditionalFormatting>
  <conditionalFormatting sqref="D120:G120">
    <cfRule type="expression" dxfId="674" priority="114">
      <formula>AND($R120="X",$B120&lt;&gt;"")</formula>
    </cfRule>
  </conditionalFormatting>
  <conditionalFormatting sqref="D159:G159">
    <cfRule type="expression" dxfId="673" priority="66">
      <formula>AND($R159="X",OR($B159&lt;&gt;"",$C159&lt;&gt;""))</formula>
    </cfRule>
  </conditionalFormatting>
  <conditionalFormatting sqref="E9:E33">
    <cfRule type="expression" dxfId="672" priority="36">
      <formula>AND($R9="X",OR($B9&lt;&gt;"",$C9&lt;&gt;"",$D9&lt;&gt;""))</formula>
    </cfRule>
  </conditionalFormatting>
  <conditionalFormatting sqref="E35:E36">
    <cfRule type="expression" dxfId="671" priority="9">
      <formula>OR($AD35="X",$AC35="X")</formula>
    </cfRule>
    <cfRule type="expression" dxfId="670" priority="10">
      <formula>AND($AD35=1,$AC35=1)</formula>
    </cfRule>
    <cfRule type="expression" dxfId="669" priority="11">
      <formula>$AD35=1</formula>
    </cfRule>
    <cfRule type="expression" dxfId="668" priority="12">
      <formula>$AC35=1</formula>
    </cfRule>
    <cfRule type="expression" dxfId="667" priority="13">
      <formula>AND(NOT(ISBLANK($W35)),ISBLANK($AC35),ISBLANK($AD35))</formula>
    </cfRule>
    <cfRule type="expression" dxfId="666" priority="14">
      <formula>AND($R35="X",OR($B35&lt;&gt;"",#REF!&lt;&gt;"",$D35&lt;&gt;"",#REF!&lt;&gt;""))</formula>
    </cfRule>
  </conditionalFormatting>
  <conditionalFormatting sqref="E82">
    <cfRule type="expression" dxfId="665" priority="187">
      <formula>$AD82=1</formula>
    </cfRule>
    <cfRule type="expression" dxfId="664" priority="185">
      <formula>AND($R82="X",OR($B82&lt;&gt;"",$C82&lt;&gt;"",$D82&lt;&gt;"",$E82&lt;&gt;""))</formula>
    </cfRule>
    <cfRule type="expression" dxfId="663" priority="186">
      <formula>AND($AD82=1,$AC82=1)</formula>
    </cfRule>
    <cfRule type="expression" dxfId="662" priority="188">
      <formula>AND($R82="X",OR($B82&lt;&gt;"",$C82&lt;&gt;"",$E82&lt;&gt;"",#REF!&lt;&gt;""))</formula>
    </cfRule>
  </conditionalFormatting>
  <conditionalFormatting sqref="E85">
    <cfRule type="expression" dxfId="661" priority="179">
      <formula>AND($R85="X",OR($B85&lt;&gt;"",$C85&lt;&gt;"",$D85&lt;&gt;"",$E85&lt;&gt;""))</formula>
    </cfRule>
    <cfRule type="expression" dxfId="660" priority="180">
      <formula>AND($AD85=1,$AC85=1)</formula>
    </cfRule>
    <cfRule type="expression" dxfId="659" priority="181">
      <formula>$AD85=1</formula>
    </cfRule>
    <cfRule type="expression" dxfId="658" priority="182">
      <formula>$AC85=1</formula>
    </cfRule>
    <cfRule type="expression" dxfId="657" priority="183">
      <formula>AND($R85="X",OR($B85&lt;&gt;"",$C85&lt;&gt;"",$E85&lt;&gt;"",#REF!&lt;&gt;""))</formula>
    </cfRule>
    <cfRule type="expression" dxfId="656" priority="184">
      <formula>$AC85=1</formula>
    </cfRule>
  </conditionalFormatting>
  <conditionalFormatting sqref="E104">
    <cfRule type="expression" dxfId="655" priority="189">
      <formula>AND($R104="X",OR($B104&lt;&gt;"",$C104&lt;&gt;"",$D104&lt;&gt;"",$E104&lt;&gt;""))</formula>
    </cfRule>
    <cfRule type="expression" dxfId="654" priority="190">
      <formula>AND($AD104=1,$AC104=1)</formula>
    </cfRule>
    <cfRule type="expression" dxfId="653" priority="192">
      <formula>$AC104=1</formula>
    </cfRule>
    <cfRule type="expression" dxfId="652" priority="193">
      <formula>AND($R104="X",OR($B104&lt;&gt;"",$C104&lt;&gt;"",$E104&lt;&gt;"",#REF!&lt;&gt;""))</formula>
    </cfRule>
    <cfRule type="expression" dxfId="651" priority="191">
      <formula>$AD104=1</formula>
    </cfRule>
  </conditionalFormatting>
  <conditionalFormatting sqref="E115 E148:E152 E154:E157 E166 E178:E185">
    <cfRule type="expression" dxfId="650" priority="146">
      <formula>AND($R115="X",OR($B115&lt;&gt;"",$C115&lt;&gt;"",$D115&lt;&gt;""))</formula>
    </cfRule>
  </conditionalFormatting>
  <conditionalFormatting sqref="E115:E117">
    <cfRule type="expression" dxfId="649" priority="302">
      <formula>AND($R115="X",OR(#REF!&lt;&gt;"",$B115&lt;&gt;"",$C115&lt;&gt;""))</formula>
    </cfRule>
  </conditionalFormatting>
  <conditionalFormatting sqref="E118:E121">
    <cfRule type="expression" dxfId="648" priority="320">
      <formula>AND($R118="X",OR($B118&lt;&gt;"",$C118&lt;&gt;"",$D118&lt;&gt;""))</formula>
    </cfRule>
  </conditionalFormatting>
  <conditionalFormatting sqref="E119">
    <cfRule type="expression" dxfId="647" priority="106">
      <formula>AND($R119="X",OR($B119&lt;&gt;"",$C119&lt;&gt;"",$D119&lt;&gt;"",$E119&lt;&gt;""))</formula>
    </cfRule>
    <cfRule type="expression" dxfId="646" priority="107">
      <formula>AND($R119="X",OR($B119&lt;&gt;"",$C119&lt;&gt;"",$E119&lt;&gt;"",#REF!&lt;&gt;""))</formula>
    </cfRule>
    <cfRule type="expression" dxfId="645" priority="108">
      <formula>$AC119=1</formula>
    </cfRule>
    <cfRule type="expression" dxfId="644" priority="109">
      <formula>AND($R119="X",OR($B119&lt;&gt;"",$C119&lt;&gt;"",$D119&lt;&gt;""))</formula>
    </cfRule>
  </conditionalFormatting>
  <conditionalFormatting sqref="E124">
    <cfRule type="expression" dxfId="643" priority="194">
      <formula>AND($R124="X",OR($B124&lt;&gt;"",$C124&lt;&gt;"",$D124&lt;&gt;"",$E124&lt;&gt;""))</formula>
    </cfRule>
    <cfRule type="expression" dxfId="642" priority="195">
      <formula>AND($R124="X",OR($B124&lt;&gt;"",$C124&lt;&gt;"",$E124&lt;&gt;"",#REF!&lt;&gt;""))</formula>
    </cfRule>
    <cfRule type="expression" dxfId="641" priority="196">
      <formula>$AC124=1</formula>
    </cfRule>
  </conditionalFormatting>
  <conditionalFormatting sqref="E124:E125 E37:E113 F126:F127 E128:E131">
    <cfRule type="expression" dxfId="640" priority="276">
      <formula>AND($R37="X",OR($B37&lt;&gt;"",$C37&lt;&gt;"",$D37&lt;&gt;""))</formula>
    </cfRule>
  </conditionalFormatting>
  <conditionalFormatting sqref="E126:E127">
    <cfRule type="expression" dxfId="639" priority="125">
      <formula>AND($R126="X",$B126&lt;&gt;"")</formula>
    </cfRule>
    <cfRule type="expression" dxfId="638" priority="130">
      <formula>AND(NOT(ISBLANK($W126)),ISBLANK($AC126),ISBLANK($AD126))</formula>
    </cfRule>
    <cfRule type="expression" dxfId="637" priority="129">
      <formula>$AC126=1</formula>
    </cfRule>
    <cfRule type="expression" dxfId="636" priority="128">
      <formula>OR($AD126="X",$AC126="X")</formula>
    </cfRule>
    <cfRule type="expression" dxfId="635" priority="127">
      <formula>$AD126=1</formula>
    </cfRule>
    <cfRule type="expression" dxfId="634" priority="126">
      <formula>AND($AD126=1,$AC126=1)</formula>
    </cfRule>
  </conditionalFormatting>
  <conditionalFormatting sqref="E133:E147">
    <cfRule type="expression" dxfId="633" priority="168">
      <formula>AND($R133="X",OR($B133&lt;&gt;"",$C133&lt;&gt;"",$D133&lt;&gt;""))</formula>
    </cfRule>
  </conditionalFormatting>
  <conditionalFormatting sqref="E153">
    <cfRule type="expression" dxfId="632" priority="854">
      <formula>AND($R153="X",OR($B153&lt;&gt;"",#REF!&lt;&gt;"",$D153&lt;&gt;""))</formula>
    </cfRule>
  </conditionalFormatting>
  <conditionalFormatting sqref="E156">
    <cfRule type="expression" dxfId="631" priority="211">
      <formula>$AD156=1</formula>
    </cfRule>
    <cfRule type="expression" dxfId="630" priority="210">
      <formula>AND($AD156=1,$AC156=1)</formula>
    </cfRule>
    <cfRule type="expression" dxfId="629" priority="209">
      <formula>AND($R156="X",OR($B156&lt;&gt;"",$C156&lt;&gt;"",$D156&lt;&gt;"",$E156&lt;&gt;""))</formula>
    </cfRule>
    <cfRule type="expression" dxfId="628" priority="208">
      <formula>$AC156=1</formula>
    </cfRule>
  </conditionalFormatting>
  <conditionalFormatting sqref="E159">
    <cfRule type="expression" dxfId="627" priority="65">
      <formula>AND($R159="X",OR($B159&lt;&gt;"",$C159&lt;&gt;"",$D159&lt;&gt;""))</formula>
    </cfRule>
  </conditionalFormatting>
  <conditionalFormatting sqref="E161:E165">
    <cfRule type="expression" dxfId="626" priority="42">
      <formula>OR($AD161="X",$AC161="X")</formula>
    </cfRule>
    <cfRule type="expression" dxfId="625" priority="43">
      <formula>AND($AD161=1,$AC161=1)</formula>
    </cfRule>
    <cfRule type="expression" dxfId="624" priority="44">
      <formula>$AD161=1</formula>
    </cfRule>
    <cfRule type="expression" dxfId="623" priority="45">
      <formula>$AC161=1</formula>
    </cfRule>
    <cfRule type="expression" dxfId="622" priority="46">
      <formula>AND(NOT(ISBLANK($W161)),ISBLANK($AC161),ISBLANK($AD161))</formula>
    </cfRule>
    <cfRule type="expression" dxfId="621" priority="47">
      <formula>AND($R161="X",OR(#REF!&lt;&gt;"",$B161&lt;&gt;"",$C161&lt;&gt;"",$D161&lt;&gt;""))</formula>
    </cfRule>
  </conditionalFormatting>
  <conditionalFormatting sqref="E168:E177">
    <cfRule type="expression" dxfId="620" priority="117">
      <formula>AND($R168="X",OR($B168&lt;&gt;"",#REF!&lt;&gt;"",$C168&lt;&gt;"",$D168&lt;&gt;""))</formula>
    </cfRule>
  </conditionalFormatting>
  <conditionalFormatting sqref="E159:F159">
    <cfRule type="expression" dxfId="619" priority="76">
      <formula>AND($R159="X",OR($B159&lt;&gt;"",$C159&lt;&gt;"",$D159&lt;&gt;"",#REF!&lt;&gt;""))</formula>
    </cfRule>
  </conditionalFormatting>
  <conditionalFormatting sqref="E167:F167">
    <cfRule type="expression" dxfId="618" priority="1019">
      <formula>AND($R167="X",OR($B167&lt;&gt;"",$C167&lt;&gt;"",$D167&lt;&gt;"",#REF!&lt;&gt;""))</formula>
    </cfRule>
  </conditionalFormatting>
  <conditionalFormatting sqref="E119:G119">
    <cfRule type="expression" dxfId="617" priority="113">
      <formula>$AD119=1</formula>
    </cfRule>
    <cfRule type="expression" dxfId="616" priority="112">
      <formula>AND($AD119=1,$AC119=1)</formula>
    </cfRule>
  </conditionalFormatting>
  <conditionalFormatting sqref="E121:G121">
    <cfRule type="expression" dxfId="615" priority="87">
      <formula>AND($AD121=1,$AC121=1)</formula>
    </cfRule>
    <cfRule type="expression" dxfId="614" priority="83">
      <formula>AND($R121="X",OR($B121&lt;&gt;"",$C121&lt;&gt;"",$D121&lt;&gt;"",$E121&lt;&gt;""))</formula>
    </cfRule>
    <cfRule type="expression" dxfId="613" priority="84">
      <formula>AND($R121="X",OR($B121&lt;&gt;"",$C121&lt;&gt;"",$E121&lt;&gt;"",#REF!&lt;&gt;""))</formula>
    </cfRule>
    <cfRule type="expression" dxfId="612" priority="85">
      <formula>$AC121=1</formula>
    </cfRule>
    <cfRule type="expression" dxfId="611" priority="86">
      <formula>AND($R121="X",OR($B121&lt;&gt;"",$C121&lt;&gt;"",$D121&lt;&gt;""))</formula>
    </cfRule>
    <cfRule type="expression" dxfId="610" priority="88">
      <formula>$AD121=1</formula>
    </cfRule>
    <cfRule type="expression" dxfId="609" priority="89">
      <formula>AND($R121="X",$B121&lt;&gt;"")</formula>
    </cfRule>
    <cfRule type="expression" dxfId="608" priority="91">
      <formula>AND($R121="X",OR($B121&lt;&gt;"",$C121&lt;&gt;""))</formula>
    </cfRule>
  </conditionalFormatting>
  <conditionalFormatting sqref="E133:G133 B133:C147">
    <cfRule type="expression" dxfId="607" priority="173">
      <formula>$AD133=1</formula>
    </cfRule>
    <cfRule type="expression" dxfId="606" priority="172">
      <formula>AND($AD133=1,$AC133=1)</formula>
    </cfRule>
    <cfRule type="expression" dxfId="605" priority="174">
      <formula>$AC133=1</formula>
    </cfRule>
  </conditionalFormatting>
  <conditionalFormatting sqref="F1:F2">
    <cfRule type="dataBar" priority="432">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9:F33 E177 G177">
    <cfRule type="expression" dxfId="604" priority="39">
      <formula>AND($R9="X",OR($B9&lt;&gt;"",$C9&lt;&gt;"",$D9&lt;&gt;"",$E9&lt;&gt;""))</formula>
    </cfRule>
  </conditionalFormatting>
  <conditionalFormatting sqref="F35:F36">
    <cfRule type="expression" dxfId="603" priority="1102">
      <formula>AND($R35="X",OR($B35&lt;&gt;"",#REF!&lt;&gt;"",$D35&lt;&gt;"",#REF!&lt;&gt;""))</formula>
    </cfRule>
  </conditionalFormatting>
  <conditionalFormatting sqref="F115 F154:F157 F166 F178:F185">
    <cfRule type="expression" dxfId="602" priority="147">
      <formula>AND($R115="X",OR($B115&lt;&gt;"",$C115&lt;&gt;"",$D115&lt;&gt;"",$E115&lt;&gt;""))</formula>
    </cfRule>
  </conditionalFormatting>
  <conditionalFormatting sqref="F115:F117">
    <cfRule type="expression" dxfId="601" priority="303">
      <formula>AND($R115="X",OR(#REF!&lt;&gt;"",$B115&lt;&gt;"",$C115&lt;&gt;"",$E115&lt;&gt;""))</formula>
    </cfRule>
  </conditionalFormatting>
  <conditionalFormatting sqref="F118:F121">
    <cfRule type="expression" dxfId="600" priority="321">
      <formula>AND($R118="X",OR($B118&lt;&gt;"",$C118&lt;&gt;"",$D118&lt;&gt;"",$E118&lt;&gt;""))</formula>
    </cfRule>
  </conditionalFormatting>
  <conditionalFormatting sqref="F119">
    <cfRule type="expression" dxfId="599" priority="110">
      <formula>AND($R119="X",OR($B119&lt;&gt;"",$C119&lt;&gt;"",$D119&lt;&gt;"",$E119&lt;&gt;""))</formula>
    </cfRule>
  </conditionalFormatting>
  <conditionalFormatting sqref="F120 G154:G157 G166">
    <cfRule type="expression" dxfId="598" priority="92">
      <formula>AND($R120="X",OR($B120&lt;&gt;"",$C120&lt;&gt;"",$D120&lt;&gt;"",$E120&lt;&gt;"",$F120&lt;&gt;""))</formula>
    </cfRule>
  </conditionalFormatting>
  <conditionalFormatting sqref="F121:F123 F132:G132">
    <cfRule type="expression" dxfId="597" priority="306">
      <formula>AND($R121="X",OR($B121&lt;&gt;"",$C121&lt;&gt;"",$E121&lt;&gt;"",#REF!&lt;&gt;""))</formula>
    </cfRule>
  </conditionalFormatting>
  <conditionalFormatting sqref="F124:F152 F37:F113">
    <cfRule type="expression" dxfId="596" priority="277">
      <formula>AND($R37="X",OR($B37&lt;&gt;"",$C37&lt;&gt;"",$D37&lt;&gt;"",$E37&lt;&gt;""))</formula>
    </cfRule>
  </conditionalFormatting>
  <conditionalFormatting sqref="F131">
    <cfRule type="expression" dxfId="595" priority="178">
      <formula>AND($R131="X",OR($B131&lt;&gt;"",$C131&lt;&gt;"",$E131&lt;&gt;"",#REF!&lt;&gt;""))</formula>
    </cfRule>
  </conditionalFormatting>
  <conditionalFormatting sqref="F153">
    <cfRule type="expression" dxfId="594" priority="855">
      <formula>AND($R153="X",OR($B153&lt;&gt;"",#REF!&lt;&gt;"",$D153&lt;&gt;"",$E153&lt;&gt;""))</formula>
    </cfRule>
  </conditionalFormatting>
  <conditionalFormatting sqref="F161:F165">
    <cfRule type="expression" dxfId="593" priority="1043">
      <formula>AND($R161="X",OR(#REF!&lt;&gt;"",$B161&lt;&gt;"",$C161&lt;&gt;"",$D161&lt;&gt;""))</formula>
    </cfRule>
  </conditionalFormatting>
  <conditionalFormatting sqref="F168:F177">
    <cfRule type="expression" dxfId="592" priority="118">
      <formula>AND($R168="X",OR($B168&lt;&gt;"",#REF!&lt;&gt;"",$C168&lt;&gt;"",$D168&lt;&gt;"",$F168&lt;&gt;""))</formula>
    </cfRule>
    <cfRule type="expression" dxfId="591" priority="1009">
      <formula>AND($R168="X",OR($B168&lt;&gt;"",#REF!&lt;&gt;"",$C168&lt;&gt;"",$D168&lt;&gt;""))</formula>
    </cfRule>
  </conditionalFormatting>
  <conditionalFormatting sqref="F177">
    <cfRule type="expression" dxfId="590" priority="40">
      <formula>AND($R177="X",OR($B177&lt;&gt;"",$C177&lt;&gt;"",$D177&lt;&gt;"",$E177&lt;&gt;"",$F177&lt;&gt;""))</formula>
    </cfRule>
  </conditionalFormatting>
  <conditionalFormatting sqref="F120:G120">
    <cfRule type="expression" dxfId="589" priority="94">
      <formula>AND($R120="X",OR($B120&lt;&gt;"",$C120&lt;&gt;"",$E120&lt;&gt;"",#REF!&lt;&gt;""))</formula>
    </cfRule>
    <cfRule type="expression" dxfId="588" priority="96">
      <formula>AND($R120="X",OR($B120&lt;&gt;"",$C120&lt;&gt;"",$D120&lt;&gt;""))</formula>
    </cfRule>
    <cfRule type="expression" dxfId="587" priority="95">
      <formula>$AC120=1</formula>
    </cfRule>
    <cfRule type="expression" dxfId="586" priority="99">
      <formula>AND($R120="X",OR($B120&lt;&gt;"",$C120&lt;&gt;"",$D120&lt;&gt;""))</formula>
    </cfRule>
    <cfRule type="expression" dxfId="585" priority="98">
      <formula>$AD120=1</formula>
    </cfRule>
    <cfRule type="expression" dxfId="584" priority="97">
      <formula>AND($AD120=1,$AC120=1)</formula>
    </cfRule>
    <cfRule type="expression" dxfId="583" priority="93">
      <formula>AND($R120="X",OR($B120&lt;&gt;"",$C120&lt;&gt;"",$D120&lt;&gt;"",$E120&lt;&gt;""))</formula>
    </cfRule>
  </conditionalFormatting>
  <conditionalFormatting sqref="F121:G121">
    <cfRule type="expression" dxfId="582" priority="82">
      <formula>AND($R121="X",OR($B121&lt;&gt;"",$C121&lt;&gt;"",$D121&lt;&gt;""))</formula>
    </cfRule>
    <cfRule type="expression" dxfId="581" priority="81">
      <formula>AND($R121="X",OR($B121&lt;&gt;"",$C121&lt;&gt;""))</formula>
    </cfRule>
  </conditionalFormatting>
  <conditionalFormatting sqref="F159:G159">
    <cfRule type="expression" dxfId="580" priority="77">
      <formula>AND($R159="X",OR($B159&lt;&gt;"",$C159&lt;&gt;"",$D159&lt;&gt;"",#REF!&lt;&gt;"",$F159&lt;&gt;""))</formula>
    </cfRule>
  </conditionalFormatting>
  <conditionalFormatting sqref="F167:G167">
    <cfRule type="expression" dxfId="579" priority="1020">
      <formula>AND($R167="X",OR($B167&lt;&gt;"",$C167&lt;&gt;"",$D167&lt;&gt;"",#REF!&lt;&gt;"",$F167&lt;&gt;""))</formula>
    </cfRule>
  </conditionalFormatting>
  <conditionalFormatting sqref="G9:G33 D160:G160">
    <cfRule type="expression" dxfId="578" priority="41">
      <formula>AND($R9="X",OR($B9&lt;&gt;"",$C9&lt;&gt;"",$D9&lt;&gt;"",$E9&lt;&gt;"",$F9&lt;&gt;""))</formula>
    </cfRule>
  </conditionalFormatting>
  <conditionalFormatting sqref="G35:G36">
    <cfRule type="expression" dxfId="577" priority="1109">
      <formula>AND($R35="X",OR($B35&lt;&gt;"",#REF!&lt;&gt;"",$D35&lt;&gt;"",#REF!&lt;&gt;"",$F35&lt;&gt;""))</formula>
    </cfRule>
  </conditionalFormatting>
  <conditionalFormatting sqref="G115">
    <cfRule type="expression" dxfId="576" priority="148">
      <formula>AND($R115="X",OR($B115&lt;&gt;"",$C115&lt;&gt;"",$D115&lt;&gt;"",$E115&lt;&gt;"",$F115&lt;&gt;""))</formula>
    </cfRule>
  </conditionalFormatting>
  <conditionalFormatting sqref="G115:G117">
    <cfRule type="expression" dxfId="575" priority="304">
      <formula>AND($R115="X",OR(#REF!&lt;&gt;"",$B115&lt;&gt;"",$C115&lt;&gt;"",$E115&lt;&gt;"",$F115&lt;&gt;""))</formula>
    </cfRule>
  </conditionalFormatting>
  <conditionalFormatting sqref="G118:G121">
    <cfRule type="expression" dxfId="574" priority="322">
      <formula>AND($R118="X",OR($B118&lt;&gt;"",$C118&lt;&gt;"",$D118&lt;&gt;"",$E118&lt;&gt;"",$F118&lt;&gt;""))</formula>
    </cfRule>
  </conditionalFormatting>
  <conditionalFormatting sqref="G119">
    <cfRule type="expression" dxfId="573" priority="111">
      <formula>AND($R119="X",OR($B119&lt;&gt;"",$C119&lt;&gt;"",$D119&lt;&gt;"",$E119&lt;&gt;"",$F119&lt;&gt;""))</formula>
    </cfRule>
  </conditionalFormatting>
  <conditionalFormatting sqref="G121">
    <cfRule type="expression" dxfId="572" priority="79">
      <formula>AND($R121="X",OR($B121&lt;&gt;"",$C121&lt;&gt;"",$E121&lt;&gt;"",#REF!&lt;&gt;""))</formula>
    </cfRule>
    <cfRule type="expression" dxfId="571" priority="80">
      <formula>AND($R121="X",OR($B121&lt;&gt;"",$C121&lt;&gt;"",$D121&lt;&gt;"",$E121&lt;&gt;""))</formula>
    </cfRule>
  </conditionalFormatting>
  <conditionalFormatting sqref="G121:G123">
    <cfRule type="expression" dxfId="570" priority="307">
      <formula>AND($R121="X",OR($B121&lt;&gt;"",$C121&lt;&gt;"",$E121&lt;&gt;"",#REF!&lt;&gt;"",$F121&lt;&gt;""))</formula>
    </cfRule>
  </conditionalFormatting>
  <conditionalFormatting sqref="G132">
    <cfRule type="expression" dxfId="569" priority="878">
      <formula>AND($R132="X",OR($B132&lt;&gt;"",$C132&lt;&gt;"",$E132&lt;&gt;"",#REF!&lt;&gt;"",$F132&lt;&gt;""))</formula>
    </cfRule>
    <cfRule type="expression" dxfId="568" priority="216">
      <formula>AND($R132="X",OR($B132&lt;&gt;"",$C132&lt;&gt;"",$D132&lt;&gt;"",$E132&lt;&gt;""))</formula>
    </cfRule>
  </conditionalFormatting>
  <conditionalFormatting sqref="G133:G152">
    <cfRule type="expression" dxfId="567" priority="170">
      <formula>AND($R133="X",OR($B133&lt;&gt;"",$C133&lt;&gt;"",$D133&lt;&gt;"",$E133&lt;&gt;"",$F133&lt;&gt;""))</formula>
    </cfRule>
  </conditionalFormatting>
  <conditionalFormatting sqref="G153">
    <cfRule type="expression" dxfId="566" priority="856">
      <formula>AND($R153="X",OR($B153&lt;&gt;"",#REF!&lt;&gt;"",$D153&lt;&gt;"",$E153&lt;&gt;"",$F153&lt;&gt;""))</formula>
    </cfRule>
  </conditionalFormatting>
  <conditionalFormatting sqref="G161:G165">
    <cfRule type="expression" dxfId="565" priority="1045">
      <formula>AND($R161="X",OR(#REF!&lt;&gt;"",$B161&lt;&gt;"",$C161&lt;&gt;"",$D161&lt;&gt;"",$F161&lt;&gt;""))</formula>
    </cfRule>
  </conditionalFormatting>
  <conditionalFormatting sqref="G168:G177">
    <cfRule type="expression" dxfId="564" priority="1013">
      <formula>AND($R168="X",OR($B168&lt;&gt;"",#REF!&lt;&gt;"",$C168&lt;&gt;"",$D168&lt;&gt;"",$F168&lt;&gt;""))</formula>
    </cfRule>
  </conditionalFormatting>
  <conditionalFormatting sqref="G178:G185 G37:G113 G124:G131">
    <cfRule type="expression" dxfId="563" priority="278">
      <formula>AND($R37="X",OR($B37&lt;&gt;"",$C37&lt;&gt;"",$D37&lt;&gt;"",$E37&lt;&gt;"",$F37&lt;&gt;""))</formula>
    </cfRule>
  </conditionalFormatting>
  <conditionalFormatting sqref="H187:H188 H208:H1048">
    <cfRule type="expression" dxfId="562" priority="437">
      <formula>$Q187="X"</formula>
    </cfRule>
  </conditionalFormatting>
  <conditionalFormatting sqref="I11:I23 I25:I185">
    <cfRule type="expression" dxfId="561" priority="274">
      <formula>$R11="X"</formula>
    </cfRule>
  </conditionalFormatting>
  <conditionalFormatting sqref="Q9:Q185">
    <cfRule type="cellIs" dxfId="560" priority="159" operator="equal">
      <formula>"0..n"</formula>
    </cfRule>
    <cfRule type="cellIs" dxfId="559" priority="160" operator="equal">
      <formula>"0..1"</formula>
    </cfRule>
    <cfRule type="cellIs" dxfId="558" priority="158" operator="equal">
      <formula>"1..1"</formula>
    </cfRule>
  </conditionalFormatting>
  <hyperlinks>
    <hyperlink ref="I110"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zoomScale="94" zoomScaleNormal="115" workbookViewId="0">
      <pane xSplit="7" ySplit="8" topLeftCell="H32" activePane="bottomRight" state="frozen"/>
      <selection pane="bottomRight" activeCell="H16" sqref="H16"/>
      <selection pane="bottomLeft" activeCell="A9" sqref="A9"/>
      <selection pane="topRight" activeCell="H1" sqref="H1"/>
    </sheetView>
  </sheetViews>
  <sheetFormatPr defaultColWidth="11" defaultRowHeight="14.25" customHeight="1"/>
  <cols>
    <col min="1" max="1" width="5" bestFit="1" customWidth="1"/>
    <col min="2" max="2" width="15.375" bestFit="1" customWidth="1"/>
    <col min="3" max="3" width="20.875" customWidth="1"/>
    <col min="4" max="4" width="25.125" customWidth="1"/>
    <col min="5" max="5" width="28.125" customWidth="1"/>
    <col min="6" max="7" width="15.375" customWidth="1"/>
    <col min="8" max="8" width="53.125" customWidth="1"/>
    <col min="9" max="9" width="37.625" customWidth="1"/>
    <col min="10" max="10" width="36.375" customWidth="1"/>
    <col min="11" max="11" width="10.375" customWidth="1"/>
    <col min="12" max="12" width="19.5" customWidth="1"/>
    <col min="13" max="13" width="12" hidden="1" customWidth="1"/>
    <col min="14" max="14" width="13.125" hidden="1" customWidth="1"/>
    <col min="15" max="18" width="11" hidden="1" customWidth="1"/>
    <col min="19" max="19" width="14" customWidth="1"/>
    <col min="20" max="21" width="14" hidden="1" customWidth="1"/>
    <col min="22" max="22" width="17.375" hidden="1" customWidth="1"/>
    <col min="23" max="28" width="11" hidden="1" customWidth="1"/>
    <col min="29" max="29" width="2.625" hidden="1" customWidth="1"/>
    <col min="30" max="34" width="11" hidden="1" customWidth="1"/>
    <col min="35" max="35" width="14" customWidth="1"/>
  </cols>
  <sheetData>
    <row r="1" spans="1:1032" ht="15.95" customHeight="1">
      <c r="A1" s="287" t="s">
        <v>1619</v>
      </c>
      <c r="B1" s="287"/>
      <c r="C1" s="129" t="s">
        <v>813</v>
      </c>
      <c r="D1" s="128"/>
      <c r="E1" s="294" t="s">
        <v>814</v>
      </c>
      <c r="F1" s="157">
        <v>0.7</v>
      </c>
      <c r="G1" s="128"/>
      <c r="H1" s="593" t="s">
        <v>1620</v>
      </c>
      <c r="I1" s="593"/>
      <c r="J1" s="593"/>
      <c r="K1" s="593"/>
      <c r="L1" s="593"/>
      <c r="M1" s="295" t="s">
        <v>1620</v>
      </c>
      <c r="N1" s="295" t="s">
        <v>1620</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5.95" customHeight="1">
      <c r="A2" s="170"/>
      <c r="B2" s="128"/>
      <c r="C2" s="296" t="s">
        <v>818</v>
      </c>
      <c r="D2" s="128"/>
      <c r="E2" s="297" t="s">
        <v>819</v>
      </c>
      <c r="F2" s="157">
        <v>0.64</v>
      </c>
      <c r="G2" s="128"/>
      <c r="H2" s="593"/>
      <c r="I2" s="593"/>
      <c r="J2" s="593"/>
      <c r="K2" s="593"/>
      <c r="L2" s="593"/>
      <c r="M2" s="295" t="s">
        <v>1620</v>
      </c>
      <c r="N2" s="295" t="s">
        <v>1620</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298" t="s">
        <v>821</v>
      </c>
      <c r="D3" s="128"/>
      <c r="E3" s="299"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0" t="s">
        <v>824</v>
      </c>
      <c r="D4" s="128"/>
      <c r="E4" s="301" t="s">
        <v>825</v>
      </c>
      <c r="F4" s="128"/>
      <c r="G4" s="272"/>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86"/>
      <c r="B5" s="149"/>
      <c r="C5" s="145" t="s">
        <v>826</v>
      </c>
      <c r="D5" s="149"/>
      <c r="E5" s="302" t="s">
        <v>1620</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3" t="s">
        <v>827</v>
      </c>
      <c r="D6" s="303"/>
      <c r="E6" s="138" t="s">
        <v>1620</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1620</v>
      </c>
      <c r="C7" s="304" t="s">
        <v>1620</v>
      </c>
      <c r="D7" s="304" t="s">
        <v>1620</v>
      </c>
      <c r="E7" s="304" t="s">
        <v>1620</v>
      </c>
      <c r="F7" s="96"/>
      <c r="G7" s="96"/>
      <c r="H7" s="96"/>
      <c r="I7" s="96"/>
      <c r="J7" s="96"/>
      <c r="K7" s="96"/>
      <c r="L7" s="96"/>
      <c r="M7" s="96"/>
      <c r="N7" s="96"/>
      <c r="O7" s="594" t="s">
        <v>1621</v>
      </c>
      <c r="P7" s="594"/>
      <c r="Q7" s="594"/>
      <c r="R7" s="594"/>
      <c r="S7" s="305"/>
      <c r="T7" s="96"/>
      <c r="U7" s="96"/>
      <c r="V7" s="96"/>
      <c r="W7" s="96"/>
      <c r="X7" s="96"/>
      <c r="Y7" s="96"/>
      <c r="Z7" s="96"/>
      <c r="AA7" s="595" t="s">
        <v>829</v>
      </c>
      <c r="AB7" s="595"/>
      <c r="AD7" s="96"/>
      <c r="AE7" s="96"/>
      <c r="AF7" s="96"/>
      <c r="AG7" s="596" t="s">
        <v>830</v>
      </c>
      <c r="AH7" s="596"/>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06" t="s">
        <v>831</v>
      </c>
      <c r="B8" s="307" t="s">
        <v>832</v>
      </c>
      <c r="C8" s="307" t="s">
        <v>833</v>
      </c>
      <c r="D8" s="307" t="s">
        <v>834</v>
      </c>
      <c r="E8" s="307" t="s">
        <v>835</v>
      </c>
      <c r="F8" s="307" t="s">
        <v>836</v>
      </c>
      <c r="G8" s="307" t="s">
        <v>837</v>
      </c>
      <c r="H8" s="308" t="s">
        <v>9</v>
      </c>
      <c r="I8" s="308" t="s">
        <v>1622</v>
      </c>
      <c r="J8" s="308" t="s">
        <v>838</v>
      </c>
      <c r="K8" s="308" t="s">
        <v>1623</v>
      </c>
      <c r="L8" s="309" t="s">
        <v>840</v>
      </c>
      <c r="M8" s="309" t="s">
        <v>841</v>
      </c>
      <c r="N8" s="310" t="s">
        <v>842</v>
      </c>
      <c r="O8" s="309" t="s">
        <v>843</v>
      </c>
      <c r="P8" s="309" t="s">
        <v>844</v>
      </c>
      <c r="Q8" s="309" t="s">
        <v>845</v>
      </c>
      <c r="R8" s="309" t="s">
        <v>846</v>
      </c>
      <c r="S8" s="310" t="s">
        <v>677</v>
      </c>
      <c r="T8" s="373" t="s">
        <v>1624</v>
      </c>
      <c r="U8" s="373" t="s">
        <v>1625</v>
      </c>
      <c r="V8" s="373" t="s">
        <v>1626</v>
      </c>
      <c r="W8" s="308" t="s">
        <v>3</v>
      </c>
      <c r="X8" s="308" t="s">
        <v>1627</v>
      </c>
      <c r="Y8" s="308" t="s">
        <v>1628</v>
      </c>
      <c r="Z8" s="308" t="s">
        <v>849</v>
      </c>
      <c r="AA8" s="311" t="s">
        <v>850</v>
      </c>
      <c r="AB8" s="311" t="s">
        <v>851</v>
      </c>
      <c r="AC8" s="312" t="s">
        <v>852</v>
      </c>
      <c r="AD8" s="313" t="s">
        <v>853</v>
      </c>
      <c r="AE8" s="313" t="s">
        <v>854</v>
      </c>
      <c r="AF8" s="313" t="s">
        <v>856</v>
      </c>
      <c r="AG8" s="313" t="s">
        <v>857</v>
      </c>
      <c r="AH8" s="314" t="s">
        <v>915</v>
      </c>
      <c r="AI8" s="534" t="s">
        <v>1629</v>
      </c>
      <c r="AJ8" s="315"/>
      <c r="AK8" s="315"/>
      <c r="AL8" s="315"/>
      <c r="AM8" s="315"/>
      <c r="AN8" s="315"/>
      <c r="AO8" s="315"/>
      <c r="AP8" s="315"/>
      <c r="AQ8" s="315"/>
      <c r="AR8" s="315"/>
      <c r="AS8" s="315"/>
      <c r="AT8" s="315"/>
      <c r="AU8" s="315"/>
      <c r="AV8" s="315"/>
      <c r="AW8" s="315"/>
      <c r="AX8" s="315"/>
      <c r="AY8" s="315"/>
      <c r="AZ8" s="315"/>
      <c r="BA8" s="315"/>
      <c r="BB8" s="315"/>
      <c r="BC8" s="315"/>
      <c r="BD8" s="315"/>
      <c r="BE8" s="315"/>
      <c r="BF8" s="315"/>
      <c r="BG8" s="315"/>
      <c r="BH8" s="315"/>
      <c r="BI8" s="315"/>
      <c r="BJ8" s="315"/>
      <c r="BK8" s="315"/>
      <c r="BL8" s="315"/>
      <c r="BM8" s="315"/>
      <c r="BN8" s="315"/>
      <c r="BO8" s="315"/>
      <c r="BP8" s="315"/>
      <c r="BQ8" s="315"/>
      <c r="BR8" s="315"/>
      <c r="BS8" s="315"/>
      <c r="BT8" s="315"/>
      <c r="BU8" s="315"/>
      <c r="BV8" s="315"/>
      <c r="BW8" s="315"/>
      <c r="BX8" s="315"/>
      <c r="BY8" s="315"/>
      <c r="BZ8" s="315"/>
      <c r="CA8" s="315"/>
      <c r="CB8" s="315"/>
      <c r="CC8" s="315"/>
      <c r="CD8" s="315"/>
      <c r="CE8" s="315"/>
      <c r="CF8" s="315"/>
      <c r="CG8" s="315"/>
      <c r="CH8" s="315"/>
      <c r="CI8" s="315"/>
      <c r="CJ8" s="315"/>
      <c r="CK8" s="315"/>
      <c r="CL8" s="315"/>
      <c r="CM8" s="315"/>
      <c r="CN8" s="315"/>
      <c r="CO8" s="315"/>
      <c r="CP8" s="315"/>
      <c r="CQ8" s="315"/>
      <c r="CR8" s="315"/>
      <c r="CS8" s="315"/>
      <c r="CT8" s="315"/>
      <c r="CU8" s="315"/>
      <c r="CV8" s="315"/>
      <c r="CW8" s="315"/>
      <c r="CX8" s="315"/>
      <c r="CY8" s="315"/>
      <c r="CZ8" s="315"/>
      <c r="DA8" s="315"/>
      <c r="DB8" s="315"/>
      <c r="DC8" s="315"/>
      <c r="DD8" s="315"/>
      <c r="DE8" s="315"/>
      <c r="DF8" s="315"/>
      <c r="DG8" s="315"/>
      <c r="DH8" s="315"/>
      <c r="DI8" s="315"/>
      <c r="DJ8" s="315"/>
      <c r="DK8" s="315"/>
      <c r="DL8" s="315"/>
      <c r="DM8" s="315"/>
      <c r="DN8" s="315"/>
      <c r="DO8" s="315"/>
      <c r="DP8" s="315"/>
      <c r="DQ8" s="315"/>
      <c r="DR8" s="315"/>
      <c r="DS8" s="315"/>
      <c r="DT8" s="315"/>
      <c r="DU8" s="315"/>
      <c r="DV8" s="315"/>
      <c r="DW8" s="315"/>
      <c r="DX8" s="315"/>
      <c r="DY8" s="315"/>
      <c r="DZ8" s="315"/>
      <c r="EA8" s="315"/>
      <c r="EB8" s="315"/>
      <c r="EC8" s="315"/>
      <c r="ED8" s="315"/>
      <c r="EE8" s="315"/>
      <c r="EF8" s="315"/>
      <c r="EG8" s="315"/>
      <c r="EH8" s="315"/>
      <c r="EI8" s="315"/>
      <c r="EJ8" s="315"/>
      <c r="EK8" s="315"/>
      <c r="EL8" s="315"/>
      <c r="EM8" s="315"/>
      <c r="EN8" s="315"/>
      <c r="EO8" s="315"/>
      <c r="EP8" s="315"/>
      <c r="EQ8" s="315"/>
      <c r="ER8" s="315"/>
      <c r="ES8" s="315"/>
      <c r="ET8" s="315"/>
      <c r="EU8" s="315"/>
      <c r="EV8" s="315"/>
      <c r="EW8" s="315"/>
      <c r="EX8" s="315"/>
      <c r="EY8" s="315"/>
      <c r="EZ8" s="315"/>
      <c r="FA8" s="315"/>
      <c r="FB8" s="315"/>
      <c r="FC8" s="315"/>
      <c r="FD8" s="315"/>
      <c r="FE8" s="315"/>
      <c r="FF8" s="315"/>
      <c r="FG8" s="315"/>
      <c r="FH8" s="315"/>
      <c r="FI8" s="315"/>
      <c r="FJ8" s="315"/>
      <c r="FK8" s="315"/>
      <c r="FL8" s="315"/>
      <c r="FM8" s="315"/>
      <c r="FN8" s="315"/>
      <c r="FO8" s="315"/>
      <c r="FP8" s="315"/>
      <c r="FQ8" s="315"/>
      <c r="FR8" s="315"/>
      <c r="FS8" s="315"/>
      <c r="FT8" s="315"/>
      <c r="FU8" s="315"/>
      <c r="FV8" s="315"/>
      <c r="FW8" s="315"/>
      <c r="FX8" s="315"/>
      <c r="FY8" s="315"/>
      <c r="FZ8" s="315"/>
      <c r="GA8" s="315"/>
      <c r="GB8" s="315"/>
      <c r="GC8" s="315"/>
      <c r="GD8" s="315"/>
      <c r="GE8" s="315"/>
      <c r="GF8" s="315"/>
      <c r="GG8" s="315"/>
      <c r="GH8" s="315"/>
      <c r="GI8" s="315"/>
      <c r="GJ8" s="315"/>
      <c r="GK8" s="315"/>
      <c r="GL8" s="315"/>
      <c r="GM8" s="315"/>
      <c r="GN8" s="315"/>
      <c r="GO8" s="315"/>
      <c r="GP8" s="315"/>
      <c r="GQ8" s="315"/>
      <c r="GR8" s="315"/>
      <c r="GS8" s="315"/>
      <c r="GT8" s="315"/>
      <c r="GU8" s="315"/>
      <c r="GV8" s="315"/>
      <c r="GW8" s="315"/>
      <c r="GX8" s="315"/>
      <c r="GY8" s="315"/>
      <c r="GZ8" s="315"/>
      <c r="HA8" s="315"/>
      <c r="HB8" s="315"/>
      <c r="HC8" s="315"/>
      <c r="HD8" s="315"/>
      <c r="HE8" s="315"/>
      <c r="HF8" s="315"/>
      <c r="HG8" s="315"/>
      <c r="HH8" s="315"/>
      <c r="HI8" s="315"/>
      <c r="HJ8" s="315"/>
      <c r="HK8" s="315"/>
      <c r="HL8" s="315"/>
      <c r="HM8" s="315"/>
      <c r="HN8" s="315"/>
      <c r="HO8" s="315"/>
      <c r="HP8" s="315"/>
      <c r="HQ8" s="315"/>
      <c r="HR8" s="315"/>
      <c r="HS8" s="315"/>
      <c r="HT8" s="315"/>
      <c r="HU8" s="315"/>
      <c r="HV8" s="315"/>
      <c r="HW8" s="315"/>
      <c r="HX8" s="315"/>
      <c r="HY8" s="315"/>
      <c r="HZ8" s="315"/>
      <c r="IA8" s="315"/>
      <c r="IB8" s="315"/>
      <c r="IC8" s="315"/>
      <c r="ID8" s="315"/>
      <c r="IE8" s="315"/>
      <c r="IF8" s="315"/>
      <c r="IG8" s="315"/>
      <c r="IH8" s="315"/>
      <c r="II8" s="315"/>
      <c r="IJ8" s="315"/>
      <c r="IK8" s="315"/>
      <c r="IL8" s="315"/>
      <c r="IM8" s="315"/>
      <c r="IN8" s="315"/>
      <c r="IO8" s="315"/>
      <c r="IP8" s="315"/>
      <c r="IQ8" s="315"/>
      <c r="IR8" s="315"/>
      <c r="IS8" s="315"/>
      <c r="IT8" s="315"/>
      <c r="IU8" s="315"/>
      <c r="IV8" s="315"/>
      <c r="IW8" s="315"/>
      <c r="IX8" s="315"/>
      <c r="IY8" s="315"/>
      <c r="IZ8" s="315"/>
      <c r="JA8" s="315"/>
      <c r="JB8" s="315"/>
      <c r="JC8" s="315"/>
      <c r="JD8" s="315"/>
      <c r="JE8" s="315"/>
      <c r="JF8" s="315"/>
      <c r="JG8" s="315"/>
      <c r="JH8" s="315"/>
      <c r="JI8" s="315"/>
      <c r="JJ8" s="315"/>
      <c r="JK8" s="315"/>
      <c r="JL8" s="315"/>
      <c r="JM8" s="315"/>
      <c r="JN8" s="315"/>
      <c r="JO8" s="315"/>
      <c r="JP8" s="315"/>
      <c r="JQ8" s="315"/>
      <c r="JR8" s="315"/>
      <c r="JS8" s="315"/>
      <c r="JT8" s="315"/>
      <c r="JU8" s="315"/>
      <c r="JV8" s="315"/>
      <c r="JW8" s="315"/>
      <c r="JX8" s="315"/>
      <c r="JY8" s="315"/>
      <c r="JZ8" s="315"/>
      <c r="KA8" s="315"/>
      <c r="KB8" s="315"/>
      <c r="KC8" s="315"/>
      <c r="KD8" s="315"/>
      <c r="KE8" s="315"/>
      <c r="KF8" s="315"/>
      <c r="KG8" s="315"/>
      <c r="KH8" s="315"/>
      <c r="KI8" s="315"/>
      <c r="KJ8" s="315"/>
      <c r="KK8" s="315"/>
      <c r="KL8" s="315"/>
      <c r="KM8" s="315"/>
      <c r="KN8" s="315"/>
      <c r="KO8" s="315"/>
      <c r="KP8" s="315"/>
      <c r="KQ8" s="315"/>
      <c r="KR8" s="315"/>
      <c r="KS8" s="315"/>
      <c r="KT8" s="315"/>
      <c r="KU8" s="315"/>
      <c r="KV8" s="315"/>
      <c r="KW8" s="315"/>
      <c r="KX8" s="315"/>
      <c r="KY8" s="315"/>
      <c r="KZ8" s="315"/>
      <c r="LA8" s="315"/>
      <c r="LB8" s="315"/>
      <c r="LC8" s="315"/>
      <c r="LD8" s="315"/>
      <c r="LE8" s="315"/>
      <c r="LF8" s="315"/>
      <c r="LG8" s="315"/>
      <c r="LH8" s="315"/>
      <c r="LI8" s="315"/>
      <c r="LJ8" s="315"/>
      <c r="LK8" s="315"/>
      <c r="LL8" s="315"/>
      <c r="LM8" s="315"/>
      <c r="LN8" s="315"/>
      <c r="LO8" s="315"/>
      <c r="LP8" s="315"/>
      <c r="LQ8" s="315"/>
      <c r="LR8" s="315"/>
      <c r="LS8" s="315"/>
      <c r="LT8" s="315"/>
      <c r="LU8" s="315"/>
      <c r="LV8" s="315"/>
      <c r="LW8" s="315"/>
      <c r="LX8" s="315"/>
      <c r="LY8" s="315"/>
      <c r="LZ8" s="315"/>
      <c r="MA8" s="315"/>
      <c r="MB8" s="315"/>
      <c r="MC8" s="315"/>
      <c r="MD8" s="315"/>
      <c r="ME8" s="315"/>
      <c r="MF8" s="315"/>
      <c r="MG8" s="315"/>
      <c r="MH8" s="315"/>
      <c r="MI8" s="315"/>
      <c r="MJ8" s="315"/>
      <c r="MK8" s="315"/>
      <c r="ML8" s="315"/>
      <c r="MM8" s="315"/>
      <c r="MN8" s="315"/>
      <c r="MO8" s="315"/>
      <c r="MP8" s="315"/>
      <c r="MQ8" s="315"/>
      <c r="MR8" s="315"/>
      <c r="MS8" s="315"/>
      <c r="MT8" s="315"/>
      <c r="MU8" s="315"/>
      <c r="MV8" s="315"/>
      <c r="MW8" s="315"/>
      <c r="MX8" s="315"/>
      <c r="MY8" s="315"/>
      <c r="MZ8" s="315"/>
      <c r="NA8" s="315"/>
      <c r="NB8" s="315"/>
      <c r="NC8" s="315"/>
      <c r="ND8" s="315"/>
      <c r="NE8" s="315"/>
      <c r="NF8" s="315"/>
      <c r="NG8" s="315"/>
      <c r="NH8" s="315"/>
      <c r="NI8" s="315"/>
      <c r="NJ8" s="315"/>
      <c r="NK8" s="315"/>
      <c r="NL8" s="315"/>
      <c r="NM8" s="315"/>
      <c r="NN8" s="315"/>
      <c r="NO8" s="315"/>
      <c r="NP8" s="315"/>
      <c r="NQ8" s="315"/>
      <c r="NR8" s="315"/>
      <c r="NS8" s="315"/>
      <c r="NT8" s="315"/>
      <c r="NU8" s="315"/>
      <c r="NV8" s="315"/>
      <c r="NW8" s="315"/>
      <c r="NX8" s="315"/>
      <c r="NY8" s="315"/>
      <c r="NZ8" s="315"/>
      <c r="OA8" s="315"/>
      <c r="OB8" s="315"/>
      <c r="OC8" s="315"/>
      <c r="OD8" s="315"/>
      <c r="OE8" s="315"/>
      <c r="OF8" s="315"/>
      <c r="OG8" s="315"/>
      <c r="OH8" s="315"/>
      <c r="OI8" s="315"/>
      <c r="OJ8" s="315"/>
      <c r="OK8" s="315"/>
      <c r="OL8" s="315"/>
      <c r="OM8" s="315"/>
      <c r="ON8" s="315"/>
      <c r="OO8" s="315"/>
      <c r="OP8" s="315"/>
      <c r="OQ8" s="315"/>
      <c r="OR8" s="315"/>
      <c r="OS8" s="315"/>
      <c r="OT8" s="315"/>
      <c r="OU8" s="315"/>
      <c r="OV8" s="315"/>
      <c r="OW8" s="315"/>
      <c r="OX8" s="315"/>
      <c r="OY8" s="315"/>
      <c r="OZ8" s="315"/>
      <c r="PA8" s="315"/>
      <c r="PB8" s="315"/>
      <c r="PC8" s="315"/>
      <c r="PD8" s="315"/>
      <c r="PE8" s="315"/>
      <c r="PF8" s="315"/>
      <c r="PG8" s="315"/>
      <c r="PH8" s="315"/>
      <c r="PI8" s="315"/>
      <c r="PJ8" s="315"/>
      <c r="PK8" s="315"/>
      <c r="PL8" s="315"/>
      <c r="PM8" s="315"/>
      <c r="PN8" s="315"/>
      <c r="PO8" s="315"/>
      <c r="PP8" s="315"/>
      <c r="PQ8" s="315"/>
      <c r="PR8" s="315"/>
      <c r="PS8" s="315"/>
      <c r="PT8" s="315"/>
      <c r="PU8" s="315"/>
      <c r="PV8" s="315"/>
      <c r="PW8" s="315"/>
      <c r="PX8" s="315"/>
      <c r="PY8" s="315"/>
      <c r="PZ8" s="315"/>
      <c r="QA8" s="315"/>
      <c r="QB8" s="315"/>
      <c r="QC8" s="315"/>
      <c r="QD8" s="315"/>
      <c r="QE8" s="315"/>
      <c r="QF8" s="315"/>
      <c r="QG8" s="315"/>
      <c r="QH8" s="315"/>
      <c r="QI8" s="315"/>
      <c r="QJ8" s="315"/>
      <c r="QK8" s="315"/>
      <c r="QL8" s="315"/>
      <c r="QM8" s="315"/>
      <c r="QN8" s="315"/>
      <c r="QO8" s="315"/>
      <c r="QP8" s="315"/>
      <c r="QQ8" s="315"/>
      <c r="QR8" s="315"/>
      <c r="QS8" s="315"/>
      <c r="QT8" s="315"/>
      <c r="QU8" s="315"/>
      <c r="QV8" s="315"/>
      <c r="QW8" s="315"/>
      <c r="QX8" s="315"/>
      <c r="QY8" s="315"/>
      <c r="QZ8" s="315"/>
      <c r="RA8" s="315"/>
      <c r="RB8" s="315"/>
      <c r="RC8" s="315"/>
      <c r="RD8" s="315"/>
      <c r="RE8" s="315"/>
      <c r="RF8" s="315"/>
      <c r="RG8" s="315"/>
      <c r="RH8" s="315"/>
      <c r="RI8" s="315"/>
      <c r="RJ8" s="315"/>
      <c r="RK8" s="315"/>
      <c r="RL8" s="315"/>
      <c r="RM8" s="315"/>
      <c r="RN8" s="315"/>
      <c r="RO8" s="315"/>
      <c r="RP8" s="315"/>
      <c r="RQ8" s="315"/>
      <c r="RR8" s="315"/>
      <c r="RS8" s="315"/>
      <c r="RT8" s="315"/>
      <c r="RU8" s="315"/>
      <c r="RV8" s="315"/>
      <c r="RW8" s="315"/>
      <c r="RX8" s="315"/>
      <c r="RY8" s="315"/>
      <c r="RZ8" s="315"/>
      <c r="SA8" s="315"/>
      <c r="SB8" s="315"/>
      <c r="SC8" s="315"/>
      <c r="SD8" s="315"/>
      <c r="SE8" s="315"/>
      <c r="SF8" s="315"/>
      <c r="SG8" s="315"/>
      <c r="SH8" s="315"/>
      <c r="SI8" s="315"/>
      <c r="SJ8" s="315"/>
      <c r="SK8" s="315"/>
      <c r="SL8" s="315"/>
      <c r="SM8" s="315"/>
      <c r="SN8" s="315"/>
      <c r="SO8" s="315"/>
      <c r="SP8" s="315"/>
      <c r="SQ8" s="315"/>
      <c r="SR8" s="315"/>
      <c r="SS8" s="315"/>
      <c r="ST8" s="315"/>
      <c r="SU8" s="315"/>
      <c r="SV8" s="315"/>
      <c r="SW8" s="315"/>
      <c r="SX8" s="315"/>
      <c r="SY8" s="315"/>
      <c r="SZ8" s="315"/>
      <c r="TA8" s="315"/>
      <c r="TB8" s="315"/>
      <c r="TC8" s="315"/>
      <c r="TD8" s="315"/>
      <c r="TE8" s="315"/>
      <c r="TF8" s="315"/>
      <c r="TG8" s="315"/>
      <c r="TH8" s="315"/>
      <c r="TI8" s="315"/>
      <c r="TJ8" s="315"/>
      <c r="TK8" s="315"/>
      <c r="TL8" s="315"/>
      <c r="TM8" s="315"/>
      <c r="TN8" s="315"/>
      <c r="TO8" s="315"/>
      <c r="TP8" s="315"/>
      <c r="TQ8" s="315"/>
      <c r="TR8" s="315"/>
      <c r="TS8" s="315"/>
      <c r="TT8" s="315"/>
      <c r="TU8" s="315"/>
      <c r="TV8" s="315"/>
      <c r="TW8" s="315"/>
      <c r="TX8" s="315"/>
      <c r="TY8" s="315"/>
      <c r="TZ8" s="315"/>
      <c r="UA8" s="315"/>
      <c r="UB8" s="315"/>
      <c r="UC8" s="315"/>
      <c r="UD8" s="315"/>
      <c r="UE8" s="315"/>
      <c r="UF8" s="315"/>
      <c r="UG8" s="315"/>
      <c r="UH8" s="315"/>
      <c r="UI8" s="315"/>
      <c r="UJ8" s="315"/>
      <c r="UK8" s="315"/>
      <c r="UL8" s="315"/>
      <c r="UM8" s="315"/>
      <c r="UN8" s="315"/>
      <c r="UO8" s="315"/>
      <c r="UP8" s="315"/>
      <c r="UQ8" s="315"/>
      <c r="UR8" s="315"/>
      <c r="US8" s="315"/>
      <c r="UT8" s="315"/>
      <c r="UU8" s="315"/>
      <c r="UV8" s="315"/>
      <c r="UW8" s="315"/>
      <c r="UX8" s="315"/>
      <c r="UY8" s="315"/>
      <c r="UZ8" s="315"/>
      <c r="VA8" s="315"/>
      <c r="VB8" s="315"/>
      <c r="VC8" s="315"/>
      <c r="VD8" s="315"/>
      <c r="VE8" s="315"/>
      <c r="VF8" s="315"/>
      <c r="VG8" s="315"/>
      <c r="VH8" s="315"/>
      <c r="VI8" s="315"/>
      <c r="VJ8" s="315"/>
      <c r="VK8" s="315"/>
      <c r="VL8" s="315"/>
      <c r="VM8" s="315"/>
      <c r="VN8" s="315"/>
      <c r="VO8" s="315"/>
      <c r="VP8" s="315"/>
      <c r="VQ8" s="315"/>
      <c r="VR8" s="315"/>
      <c r="VS8" s="315"/>
      <c r="VT8" s="315"/>
      <c r="VU8" s="315"/>
      <c r="VV8" s="315"/>
      <c r="VW8" s="315"/>
      <c r="VX8" s="315"/>
      <c r="VY8" s="315"/>
      <c r="VZ8" s="315"/>
      <c r="WA8" s="315"/>
      <c r="WB8" s="315"/>
      <c r="WC8" s="315"/>
      <c r="WD8" s="315"/>
      <c r="WE8" s="315"/>
      <c r="WF8" s="315"/>
      <c r="WG8" s="315"/>
      <c r="WH8" s="315"/>
      <c r="WI8" s="315"/>
      <c r="WJ8" s="315"/>
      <c r="WK8" s="315"/>
      <c r="WL8" s="315"/>
      <c r="WM8" s="315"/>
      <c r="WN8" s="315"/>
      <c r="WO8" s="315"/>
      <c r="WP8" s="315"/>
      <c r="WQ8" s="315"/>
      <c r="WR8" s="315"/>
      <c r="WS8" s="315"/>
      <c r="WT8" s="315"/>
      <c r="WU8" s="315"/>
      <c r="WV8" s="315"/>
      <c r="WW8" s="315"/>
      <c r="WX8" s="315"/>
      <c r="WY8" s="315"/>
      <c r="WZ8" s="315"/>
      <c r="XA8" s="315"/>
      <c r="XB8" s="315"/>
      <c r="XC8" s="315"/>
      <c r="XD8" s="315"/>
      <c r="XE8" s="315"/>
      <c r="XF8" s="315"/>
      <c r="XG8" s="315"/>
      <c r="XH8" s="315"/>
      <c r="XI8" s="315"/>
      <c r="XJ8" s="315"/>
      <c r="XK8" s="315"/>
      <c r="XL8" s="315"/>
      <c r="XM8" s="315"/>
      <c r="XN8" s="315"/>
      <c r="XO8" s="315"/>
      <c r="XP8" s="315"/>
      <c r="XQ8" s="315"/>
      <c r="XR8" s="315"/>
      <c r="XS8" s="315"/>
      <c r="XT8" s="315"/>
      <c r="XU8" s="315"/>
      <c r="XV8" s="315"/>
      <c r="XW8" s="315"/>
      <c r="XX8" s="315"/>
      <c r="XY8" s="315"/>
      <c r="XZ8" s="315"/>
      <c r="YA8" s="315"/>
      <c r="YB8" s="315"/>
      <c r="YC8" s="315"/>
      <c r="YD8" s="315"/>
      <c r="YE8" s="315"/>
      <c r="YF8" s="315"/>
      <c r="YG8" s="315"/>
      <c r="YH8" s="315"/>
      <c r="YI8" s="315"/>
      <c r="YJ8" s="315"/>
      <c r="YK8" s="315"/>
      <c r="YL8" s="315"/>
      <c r="YM8" s="315"/>
      <c r="YN8" s="315"/>
      <c r="YO8" s="315"/>
      <c r="YP8" s="315"/>
      <c r="YQ8" s="315"/>
      <c r="YR8" s="315"/>
      <c r="YS8" s="315"/>
      <c r="YT8" s="315"/>
      <c r="YU8" s="315"/>
      <c r="YV8" s="315"/>
      <c r="YW8" s="315"/>
      <c r="YX8" s="315"/>
      <c r="YY8" s="315"/>
      <c r="YZ8" s="315"/>
      <c r="ZA8" s="315"/>
      <c r="ZB8" s="315"/>
      <c r="ZC8" s="315"/>
      <c r="ZD8" s="315"/>
      <c r="ZE8" s="315"/>
      <c r="ZF8" s="315"/>
      <c r="ZG8" s="315"/>
      <c r="ZH8" s="315"/>
      <c r="ZI8" s="315"/>
      <c r="ZJ8" s="315"/>
      <c r="ZK8" s="315"/>
      <c r="ZL8" s="315"/>
      <c r="ZM8" s="315"/>
      <c r="ZN8" s="315"/>
      <c r="ZO8" s="315"/>
      <c r="ZP8" s="315"/>
      <c r="ZQ8" s="315"/>
      <c r="ZR8" s="315"/>
      <c r="ZS8" s="315"/>
      <c r="ZT8" s="315"/>
      <c r="ZU8" s="315"/>
      <c r="ZV8" s="315"/>
      <c r="ZW8" s="315"/>
      <c r="ZX8" s="315"/>
      <c r="ZY8" s="315"/>
      <c r="ZZ8" s="315"/>
      <c r="AAA8" s="315"/>
      <c r="AAB8" s="315"/>
      <c r="AAC8" s="315"/>
      <c r="AAD8" s="315"/>
      <c r="AAE8" s="315"/>
      <c r="AAF8" s="315"/>
      <c r="AAG8" s="315"/>
      <c r="AAH8" s="315"/>
      <c r="AAI8" s="315"/>
      <c r="AAJ8" s="315"/>
      <c r="AAK8" s="315"/>
      <c r="AAL8" s="315"/>
      <c r="AAM8" s="315"/>
      <c r="AAN8" s="315"/>
      <c r="AAO8" s="315"/>
      <c r="AAP8" s="315"/>
      <c r="AAQ8" s="315"/>
      <c r="AAR8" s="315"/>
      <c r="AAS8" s="315"/>
      <c r="AAT8" s="315"/>
      <c r="AAU8" s="315"/>
      <c r="AAV8" s="315"/>
      <c r="AAW8" s="315"/>
      <c r="AAX8" s="315"/>
      <c r="AAY8" s="315"/>
      <c r="AAZ8" s="315"/>
      <c r="ABA8" s="315"/>
      <c r="ABB8" s="315"/>
      <c r="ABC8" s="315"/>
      <c r="ABD8" s="315"/>
      <c r="ABE8" s="315"/>
      <c r="ABF8" s="315"/>
      <c r="ABG8" s="315"/>
      <c r="ABH8" s="315"/>
      <c r="ABI8" s="315"/>
      <c r="ABJ8" s="315"/>
      <c r="ABK8" s="315"/>
      <c r="ABL8" s="315"/>
      <c r="ABM8" s="315"/>
      <c r="ABN8" s="315"/>
      <c r="ABO8" s="315"/>
      <c r="ABP8" s="315"/>
      <c r="ABQ8" s="315"/>
      <c r="ABR8" s="315"/>
      <c r="ABS8" s="315"/>
      <c r="ABT8" s="315"/>
      <c r="ABU8" s="315"/>
      <c r="ABV8" s="315"/>
      <c r="ABW8" s="315"/>
      <c r="ABX8" s="315"/>
      <c r="ABY8" s="315"/>
      <c r="ABZ8" s="315"/>
      <c r="ACA8" s="315"/>
      <c r="ACB8" s="315"/>
      <c r="ACC8" s="315"/>
      <c r="ACD8" s="315"/>
      <c r="ACE8" s="315"/>
      <c r="ACF8" s="315"/>
      <c r="ACG8" s="315"/>
      <c r="ACH8" s="315"/>
      <c r="ACI8" s="315"/>
      <c r="ACJ8" s="315"/>
      <c r="ACK8" s="315"/>
      <c r="ACL8" s="315"/>
      <c r="ACM8" s="315"/>
      <c r="ACN8" s="315"/>
      <c r="ACO8" s="315"/>
      <c r="ACP8" s="315"/>
      <c r="ACQ8" s="315"/>
      <c r="ACR8" s="315"/>
      <c r="ACS8" s="315"/>
      <c r="ACT8" s="315"/>
      <c r="ACU8" s="315"/>
      <c r="ACV8" s="315"/>
      <c r="ACW8" s="315"/>
      <c r="ACX8" s="315"/>
      <c r="ACY8" s="315"/>
      <c r="ACZ8" s="315"/>
      <c r="ADA8" s="315"/>
      <c r="ADB8" s="315"/>
      <c r="ADC8" s="315"/>
      <c r="ADD8" s="315"/>
      <c r="ADE8" s="315"/>
      <c r="ADF8" s="315"/>
      <c r="ADG8" s="315"/>
      <c r="ADH8" s="315"/>
      <c r="ADI8" s="315"/>
      <c r="ADJ8" s="315"/>
      <c r="ADK8" s="315"/>
      <c r="ADL8" s="315"/>
      <c r="ADM8" s="315"/>
      <c r="ADN8" s="315"/>
      <c r="ADO8" s="315"/>
      <c r="ADP8" s="315"/>
      <c r="ADQ8" s="315"/>
      <c r="ADR8" s="315"/>
      <c r="ADS8" s="315"/>
      <c r="ADT8" s="315"/>
      <c r="ADU8" s="315"/>
      <c r="ADV8" s="315"/>
      <c r="ADW8" s="315"/>
      <c r="ADX8" s="315"/>
      <c r="ADY8" s="315"/>
      <c r="ADZ8" s="315"/>
      <c r="AEA8" s="315"/>
      <c r="AEB8" s="315"/>
      <c r="AEC8" s="315"/>
      <c r="AED8" s="315"/>
      <c r="AEE8" s="315"/>
      <c r="AEF8" s="315"/>
      <c r="AEG8" s="315"/>
      <c r="AEH8" s="315"/>
      <c r="AEI8" s="315"/>
      <c r="AEJ8" s="315"/>
      <c r="AEK8" s="315"/>
      <c r="AEL8" s="315"/>
      <c r="AEM8" s="315"/>
      <c r="AEN8" s="315"/>
      <c r="AEO8" s="315"/>
      <c r="AEP8" s="315"/>
      <c r="AEQ8" s="315"/>
      <c r="AER8" s="315"/>
      <c r="AES8" s="315"/>
      <c r="AET8" s="315"/>
      <c r="AEU8" s="315"/>
      <c r="AEV8" s="315"/>
      <c r="AEW8" s="315"/>
      <c r="AEX8" s="315"/>
      <c r="AEY8" s="315"/>
      <c r="AEZ8" s="315"/>
      <c r="AFA8" s="315"/>
      <c r="AFB8" s="315"/>
      <c r="AFC8" s="315"/>
      <c r="AFD8" s="315"/>
      <c r="AFE8" s="315"/>
      <c r="AFF8" s="315"/>
      <c r="AFG8" s="315"/>
      <c r="AFH8" s="315"/>
      <c r="AFI8" s="315"/>
      <c r="AFJ8" s="315"/>
      <c r="AFK8" s="315"/>
      <c r="AFL8" s="315"/>
      <c r="AFM8" s="315"/>
      <c r="AFN8" s="315"/>
      <c r="AFO8" s="315"/>
      <c r="AFP8" s="315"/>
      <c r="AFQ8" s="315"/>
      <c r="AFR8" s="315"/>
      <c r="AFS8" s="315"/>
      <c r="AFT8" s="315"/>
      <c r="AFU8" s="315"/>
      <c r="AFV8" s="315"/>
      <c r="AFW8" s="315"/>
      <c r="AFX8" s="315"/>
      <c r="AFY8" s="315"/>
      <c r="AFZ8" s="315"/>
      <c r="AGA8" s="315"/>
      <c r="AGB8" s="315"/>
      <c r="AGC8" s="315"/>
      <c r="AGD8" s="315"/>
      <c r="AGE8" s="315"/>
      <c r="AGF8" s="315"/>
      <c r="AGG8" s="315"/>
      <c r="AGH8" s="315"/>
      <c r="AGI8" s="315"/>
      <c r="AGJ8" s="315"/>
      <c r="AGK8" s="315"/>
      <c r="AGL8" s="315"/>
      <c r="AGM8" s="315"/>
      <c r="AGN8" s="315"/>
      <c r="AGO8" s="315"/>
      <c r="AGP8" s="315"/>
      <c r="AGQ8" s="315"/>
      <c r="AGR8" s="315"/>
      <c r="AGS8" s="315"/>
      <c r="AGT8" s="315"/>
      <c r="AGU8" s="315"/>
      <c r="AGV8" s="315"/>
      <c r="AGW8" s="315"/>
      <c r="AGX8" s="315"/>
      <c r="AGY8" s="315"/>
      <c r="AGZ8" s="315"/>
      <c r="AHA8" s="315"/>
      <c r="AHB8" s="315"/>
      <c r="AHC8" s="315"/>
      <c r="AHD8" s="315"/>
      <c r="AHE8" s="315"/>
      <c r="AHF8" s="315"/>
      <c r="AHG8" s="315"/>
      <c r="AHH8" s="315"/>
      <c r="AHI8" s="315"/>
      <c r="AHJ8" s="315"/>
      <c r="AHK8" s="315"/>
      <c r="AHL8" s="315"/>
      <c r="AHM8" s="315"/>
      <c r="AHN8" s="315"/>
      <c r="AHO8" s="315"/>
      <c r="AHP8" s="315"/>
      <c r="AHQ8" s="315"/>
      <c r="AHR8" s="315"/>
      <c r="AHS8" s="315"/>
      <c r="AHT8" s="315"/>
      <c r="AHU8" s="315"/>
      <c r="AHV8" s="315"/>
      <c r="AHW8" s="315"/>
      <c r="AHX8" s="315"/>
      <c r="AHY8" s="315"/>
      <c r="AHZ8" s="315"/>
      <c r="AIA8" s="315"/>
      <c r="AIB8" s="315"/>
      <c r="AIC8" s="315"/>
      <c r="AID8" s="315"/>
      <c r="AIE8" s="315"/>
      <c r="AIF8" s="315"/>
      <c r="AIG8" s="315"/>
      <c r="AIH8" s="315"/>
      <c r="AII8" s="315"/>
      <c r="AIJ8" s="315"/>
      <c r="AIK8" s="315"/>
      <c r="AIL8" s="315"/>
      <c r="AIM8" s="315"/>
      <c r="AIN8" s="315"/>
      <c r="AIO8" s="315"/>
      <c r="AIP8" s="315"/>
      <c r="AIQ8" s="315"/>
      <c r="AIR8" s="315"/>
      <c r="AIS8" s="315"/>
      <c r="AIT8" s="315"/>
      <c r="AIU8" s="315"/>
      <c r="AIV8" s="315"/>
      <c r="AIW8" s="315"/>
      <c r="AIX8" s="315"/>
      <c r="AIY8" s="315"/>
      <c r="AIZ8" s="315"/>
      <c r="AJA8" s="315"/>
      <c r="AJB8" s="315"/>
      <c r="AJC8" s="315"/>
      <c r="AJD8" s="315"/>
      <c r="AJE8" s="315"/>
      <c r="AJF8" s="315"/>
      <c r="AJG8" s="315"/>
      <c r="AJH8" s="315"/>
      <c r="AJI8" s="315"/>
      <c r="AJJ8" s="315"/>
      <c r="AJK8" s="315"/>
      <c r="AJL8" s="315"/>
      <c r="AJM8" s="315"/>
      <c r="AJN8" s="315"/>
      <c r="AJO8" s="315"/>
      <c r="AJP8" s="315"/>
      <c r="AJQ8" s="315"/>
      <c r="AJR8" s="315"/>
      <c r="AJS8" s="315"/>
      <c r="AJT8" s="315"/>
      <c r="AJU8" s="315"/>
      <c r="AJV8" s="315"/>
      <c r="AJW8" s="315"/>
      <c r="AJX8" s="315"/>
      <c r="AJY8" s="315"/>
      <c r="AJZ8" s="315"/>
      <c r="AKA8" s="315"/>
      <c r="AKB8" s="315"/>
      <c r="AKC8" s="315"/>
      <c r="AKD8" s="315"/>
      <c r="AKE8" s="315"/>
      <c r="AKF8" s="315"/>
      <c r="AKG8" s="315"/>
      <c r="AKH8" s="315"/>
      <c r="AKI8" s="315"/>
      <c r="AKJ8" s="315"/>
      <c r="AKK8" s="315"/>
      <c r="AKL8" s="315"/>
      <c r="AKM8" s="315"/>
      <c r="AKN8" s="315"/>
      <c r="AKO8" s="315"/>
      <c r="AKP8" s="315"/>
      <c r="AKQ8" s="315"/>
      <c r="AKR8" s="315"/>
      <c r="AKS8" s="315"/>
      <c r="AKT8" s="315"/>
      <c r="AKU8" s="315"/>
      <c r="AKV8" s="315"/>
      <c r="AKW8" s="315"/>
      <c r="AKX8" s="315"/>
      <c r="AKY8" s="315"/>
      <c r="AKZ8" s="315"/>
      <c r="ALA8" s="315"/>
      <c r="ALB8" s="315"/>
      <c r="ALC8" s="315"/>
      <c r="ALD8" s="315"/>
      <c r="ALE8" s="315"/>
      <c r="ALF8" s="315"/>
      <c r="ALG8" s="315"/>
      <c r="ALH8" s="315"/>
      <c r="ALI8" s="315"/>
      <c r="ALJ8" s="315"/>
      <c r="ALK8" s="315"/>
      <c r="ALL8" s="315"/>
      <c r="ALM8" s="315"/>
      <c r="ALN8" s="315"/>
      <c r="ALO8" s="315"/>
      <c r="ALP8" s="315"/>
      <c r="ALQ8" s="315"/>
      <c r="ALR8" s="315"/>
      <c r="ALS8" s="315"/>
      <c r="ALT8" s="315"/>
      <c r="ALU8" s="315"/>
      <c r="ALV8" s="315"/>
      <c r="ALW8" s="315"/>
      <c r="ALX8" s="315"/>
      <c r="ALY8" s="315"/>
      <c r="ALZ8" s="315"/>
      <c r="AMA8" s="315"/>
      <c r="AMB8" s="315"/>
      <c r="AMC8" s="315"/>
      <c r="AMD8" s="315"/>
      <c r="AME8" s="315"/>
      <c r="AMF8" s="315"/>
      <c r="AMG8" s="315"/>
      <c r="AMH8" s="315"/>
      <c r="AMI8" s="315"/>
      <c r="AMJ8" s="315"/>
      <c r="AMK8" s="315"/>
      <c r="AML8" s="315"/>
      <c r="AMM8" s="315"/>
      <c r="AMN8" s="315"/>
      <c r="AMO8" s="315"/>
      <c r="AMP8" s="315"/>
      <c r="AMQ8" s="315"/>
      <c r="AMR8" s="315"/>
    </row>
    <row r="9" spans="1:1032" ht="13.5" customHeight="1">
      <c r="A9" s="316">
        <v>1</v>
      </c>
      <c r="B9" s="316" t="s">
        <v>1630</v>
      </c>
      <c r="C9" s="316"/>
      <c r="D9" s="316"/>
      <c r="E9" s="316"/>
      <c r="F9" s="316"/>
      <c r="G9" s="316"/>
      <c r="H9" s="317" t="s">
        <v>1631</v>
      </c>
      <c r="I9" s="317" t="s">
        <v>1632</v>
      </c>
      <c r="J9" s="319"/>
      <c r="K9" s="317" t="s">
        <v>864</v>
      </c>
      <c r="L9" s="317" t="s">
        <v>1633</v>
      </c>
      <c r="M9" s="317"/>
      <c r="N9" s="317" t="s">
        <v>1633</v>
      </c>
      <c r="O9" s="317"/>
      <c r="P9" s="317"/>
      <c r="Q9" s="317"/>
      <c r="R9" s="317"/>
      <c r="S9" s="320" t="s">
        <v>820</v>
      </c>
      <c r="T9" s="320" t="s">
        <v>820</v>
      </c>
      <c r="U9" s="320" t="s">
        <v>820</v>
      </c>
      <c r="V9" s="317"/>
      <c r="W9" s="317" t="s">
        <v>864</v>
      </c>
      <c r="X9" s="317" t="s">
        <v>1634</v>
      </c>
      <c r="Y9" s="317"/>
      <c r="Z9" s="317"/>
      <c r="AA9" s="317" t="s">
        <v>864</v>
      </c>
      <c r="AB9" s="317" t="s">
        <v>864</v>
      </c>
      <c r="AC9" s="321" t="s">
        <v>1620</v>
      </c>
      <c r="AD9" s="317"/>
      <c r="AE9" s="317"/>
      <c r="AF9" s="317"/>
      <c r="AG9" s="317">
        <v>1</v>
      </c>
      <c r="AH9" s="317"/>
      <c r="AI9" s="320" t="s">
        <v>820</v>
      </c>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2">
        <v>2</v>
      </c>
      <c r="B10" s="322"/>
      <c r="C10" s="322" t="s">
        <v>858</v>
      </c>
      <c r="D10" s="322"/>
      <c r="E10" s="322"/>
      <c r="F10" s="322"/>
      <c r="G10" s="322"/>
      <c r="H10" s="323" t="s">
        <v>1635</v>
      </c>
      <c r="I10" s="323" t="s">
        <v>1636</v>
      </c>
      <c r="J10" s="323" t="s">
        <v>860</v>
      </c>
      <c r="K10" s="323" t="s">
        <v>864</v>
      </c>
      <c r="L10" s="323" t="s">
        <v>831</v>
      </c>
      <c r="M10" s="323"/>
      <c r="N10" s="323" t="s">
        <v>831</v>
      </c>
      <c r="O10" s="323" t="s">
        <v>1605</v>
      </c>
      <c r="P10" s="323" t="s">
        <v>1606</v>
      </c>
      <c r="Q10" s="323"/>
      <c r="R10" s="323"/>
      <c r="S10" s="325" t="s">
        <v>820</v>
      </c>
      <c r="T10" s="325" t="s">
        <v>820</v>
      </c>
      <c r="U10" s="325" t="s">
        <v>820</v>
      </c>
      <c r="V10" s="323"/>
      <c r="W10" s="323"/>
      <c r="X10" s="323" t="s">
        <v>863</v>
      </c>
      <c r="Y10" s="323"/>
      <c r="Z10" s="323" t="s">
        <v>1637</v>
      </c>
      <c r="AA10" s="323" t="s">
        <v>864</v>
      </c>
      <c r="AB10" s="323" t="s">
        <v>864</v>
      </c>
      <c r="AC10" s="321" t="s">
        <v>1620</v>
      </c>
      <c r="AD10" s="323"/>
      <c r="AE10" s="323"/>
      <c r="AF10" s="323"/>
      <c r="AG10" s="323">
        <v>1</v>
      </c>
      <c r="AH10" s="323">
        <v>1</v>
      </c>
      <c r="AI10" s="325" t="s">
        <v>820</v>
      </c>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26">
        <v>3</v>
      </c>
      <c r="B11" s="326"/>
      <c r="C11" s="326" t="s">
        <v>1638</v>
      </c>
      <c r="D11" s="326"/>
      <c r="E11" s="326"/>
      <c r="F11" s="326"/>
      <c r="G11" s="326"/>
      <c r="H11" s="317" t="s">
        <v>1639</v>
      </c>
      <c r="I11" s="317" t="s">
        <v>1640</v>
      </c>
      <c r="J11" s="317" t="s">
        <v>887</v>
      </c>
      <c r="K11" s="317" t="s">
        <v>864</v>
      </c>
      <c r="L11" s="317" t="s">
        <v>1641</v>
      </c>
      <c r="M11" s="317"/>
      <c r="N11" s="317" t="s">
        <v>1641</v>
      </c>
      <c r="O11" s="317"/>
      <c r="P11" s="317"/>
      <c r="Q11" s="317"/>
      <c r="R11" s="317"/>
      <c r="S11" s="320" t="s">
        <v>820</v>
      </c>
      <c r="T11" s="320" t="s">
        <v>820</v>
      </c>
      <c r="U11" s="320" t="s">
        <v>820</v>
      </c>
      <c r="V11" s="317"/>
      <c r="W11" s="317"/>
      <c r="X11" s="317" t="s">
        <v>863</v>
      </c>
      <c r="Y11" s="317"/>
      <c r="Z11" s="317" t="s">
        <v>1642</v>
      </c>
      <c r="AA11" s="317" t="s">
        <v>864</v>
      </c>
      <c r="AB11" s="317" t="s">
        <v>864</v>
      </c>
      <c r="AC11" s="321" t="s">
        <v>1620</v>
      </c>
      <c r="AD11" s="317"/>
      <c r="AE11" s="317"/>
      <c r="AF11" s="317"/>
      <c r="AG11" s="317">
        <v>1</v>
      </c>
      <c r="AH11" s="317">
        <v>1</v>
      </c>
      <c r="AI11" s="320" t="s">
        <v>820</v>
      </c>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2">
        <v>4</v>
      </c>
      <c r="B12" s="322"/>
      <c r="C12" s="322" t="s">
        <v>880</v>
      </c>
      <c r="D12" s="322"/>
      <c r="E12" s="322"/>
      <c r="F12" s="322"/>
      <c r="G12" s="322"/>
      <c r="H12" s="324" t="s">
        <v>1643</v>
      </c>
      <c r="I12" s="323" t="s">
        <v>1644</v>
      </c>
      <c r="J12" s="323" t="s">
        <v>1645</v>
      </c>
      <c r="K12" s="323" t="s">
        <v>864</v>
      </c>
      <c r="L12" s="323" t="s">
        <v>1646</v>
      </c>
      <c r="M12" s="323"/>
      <c r="N12" s="323" t="s">
        <v>1646</v>
      </c>
      <c r="O12" s="323"/>
      <c r="P12" s="323"/>
      <c r="Q12" s="323"/>
      <c r="R12" s="323"/>
      <c r="S12" s="325" t="s">
        <v>820</v>
      </c>
      <c r="T12" s="325" t="s">
        <v>820</v>
      </c>
      <c r="U12" s="325" t="s">
        <v>820</v>
      </c>
      <c r="V12" s="323"/>
      <c r="W12" s="323"/>
      <c r="X12" s="323" t="s">
        <v>863</v>
      </c>
      <c r="Y12" s="323"/>
      <c r="Z12" s="323" t="s">
        <v>1647</v>
      </c>
      <c r="AA12" s="323" t="s">
        <v>864</v>
      </c>
      <c r="AB12" s="323" t="s">
        <v>864</v>
      </c>
      <c r="AC12" s="321" t="s">
        <v>1620</v>
      </c>
      <c r="AD12" s="323"/>
      <c r="AE12" s="323"/>
      <c r="AF12" s="323"/>
      <c r="AG12" s="323">
        <v>1</v>
      </c>
      <c r="AH12" s="323">
        <v>1</v>
      </c>
      <c r="AI12" s="325" t="s">
        <v>820</v>
      </c>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26">
        <v>5</v>
      </c>
      <c r="B13" s="326"/>
      <c r="C13" s="326" t="s">
        <v>1648</v>
      </c>
      <c r="D13" s="326"/>
      <c r="E13" s="326"/>
      <c r="F13" s="326"/>
      <c r="G13" s="326"/>
      <c r="H13" s="317" t="s">
        <v>1649</v>
      </c>
      <c r="I13" s="317" t="s">
        <v>1650</v>
      </c>
      <c r="J13" s="317" t="s">
        <v>1651</v>
      </c>
      <c r="K13" s="317" t="s">
        <v>864</v>
      </c>
      <c r="L13" s="317" t="s">
        <v>1652</v>
      </c>
      <c r="M13" s="317"/>
      <c r="N13" s="317" t="s">
        <v>1652</v>
      </c>
      <c r="O13" s="317"/>
      <c r="P13" s="317"/>
      <c r="Q13" s="317"/>
      <c r="R13" s="317"/>
      <c r="S13" s="327" t="s">
        <v>817</v>
      </c>
      <c r="T13" s="328" t="s">
        <v>820</v>
      </c>
      <c r="U13" s="329" t="s">
        <v>817</v>
      </c>
      <c r="V13" s="317" t="s">
        <v>864</v>
      </c>
      <c r="W13" s="317"/>
      <c r="X13" s="317" t="s">
        <v>879</v>
      </c>
      <c r="Y13" s="317"/>
      <c r="Z13" s="317" t="s">
        <v>932</v>
      </c>
      <c r="AA13" s="317" t="s">
        <v>864</v>
      </c>
      <c r="AB13" s="317" t="s">
        <v>864</v>
      </c>
      <c r="AC13" s="321" t="s">
        <v>1620</v>
      </c>
      <c r="AD13" s="317"/>
      <c r="AE13" s="317"/>
      <c r="AF13" s="317"/>
      <c r="AG13" s="317">
        <v>1</v>
      </c>
      <c r="AH13" s="317">
        <v>1</v>
      </c>
      <c r="AI13" s="327" t="s">
        <v>817</v>
      </c>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2">
        <v>6</v>
      </c>
      <c r="B14" s="322"/>
      <c r="C14" s="322" t="s">
        <v>1653</v>
      </c>
      <c r="D14" s="322"/>
      <c r="E14" s="322"/>
      <c r="F14" s="322"/>
      <c r="G14" s="322"/>
      <c r="H14" s="323" t="s">
        <v>1654</v>
      </c>
      <c r="I14" s="323" t="s">
        <v>1655</v>
      </c>
      <c r="J14" s="330"/>
      <c r="K14" s="323" t="s">
        <v>864</v>
      </c>
      <c r="L14" s="323" t="s">
        <v>1656</v>
      </c>
      <c r="M14" s="323"/>
      <c r="N14" s="323" t="s">
        <v>1656</v>
      </c>
      <c r="O14" s="323"/>
      <c r="P14" s="323"/>
      <c r="Q14" s="323"/>
      <c r="R14" s="323"/>
      <c r="S14" s="331" t="s">
        <v>823</v>
      </c>
      <c r="T14" s="331" t="s">
        <v>823</v>
      </c>
      <c r="U14" s="331" t="s">
        <v>823</v>
      </c>
      <c r="V14" s="323"/>
      <c r="W14" s="323" t="s">
        <v>864</v>
      </c>
      <c r="X14" s="323" t="s">
        <v>942</v>
      </c>
      <c r="Y14" s="323"/>
      <c r="Z14" s="323"/>
      <c r="AA14" s="323" t="s">
        <v>864</v>
      </c>
      <c r="AB14" s="323" t="s">
        <v>864</v>
      </c>
      <c r="AC14" s="321" t="s">
        <v>1620</v>
      </c>
      <c r="AD14" s="323"/>
      <c r="AE14" s="323"/>
      <c r="AF14" s="323"/>
      <c r="AG14" s="323">
        <v>1</v>
      </c>
      <c r="AH14" s="323">
        <v>1</v>
      </c>
      <c r="AI14" s="331" t="s">
        <v>823</v>
      </c>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26">
        <v>7</v>
      </c>
      <c r="B15" s="326"/>
      <c r="C15" s="326"/>
      <c r="D15" s="326" t="s">
        <v>831</v>
      </c>
      <c r="E15" s="326"/>
      <c r="F15" s="326"/>
      <c r="G15" s="326"/>
      <c r="H15" s="317" t="s">
        <v>1657</v>
      </c>
      <c r="I15" s="317"/>
      <c r="J15" s="317" t="s">
        <v>1658</v>
      </c>
      <c r="K15" s="317" t="s">
        <v>864</v>
      </c>
      <c r="L15" s="317" t="s">
        <v>831</v>
      </c>
      <c r="M15" s="317"/>
      <c r="N15" s="317" t="s">
        <v>831</v>
      </c>
      <c r="O15" s="317"/>
      <c r="P15" s="317"/>
      <c r="Q15" s="317"/>
      <c r="R15" s="317"/>
      <c r="S15" s="320" t="s">
        <v>820</v>
      </c>
      <c r="T15" s="320" t="s">
        <v>820</v>
      </c>
      <c r="U15" s="320" t="s">
        <v>820</v>
      </c>
      <c r="V15" s="317"/>
      <c r="W15" s="317"/>
      <c r="X15" s="317" t="s">
        <v>863</v>
      </c>
      <c r="Y15" s="317"/>
      <c r="Z15" s="317"/>
      <c r="AA15" s="317" t="s">
        <v>864</v>
      </c>
      <c r="AB15" s="317" t="s">
        <v>864</v>
      </c>
      <c r="AC15" s="332" t="s">
        <v>1620</v>
      </c>
      <c r="AD15" s="317"/>
      <c r="AE15" s="317"/>
      <c r="AF15" s="317"/>
      <c r="AG15" s="317">
        <v>1</v>
      </c>
      <c r="AH15" s="317">
        <v>1</v>
      </c>
      <c r="AI15" s="320" t="s">
        <v>820</v>
      </c>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2">
        <v>8</v>
      </c>
      <c r="B16" s="322"/>
      <c r="C16" s="322"/>
      <c r="D16" s="322" t="s">
        <v>1659</v>
      </c>
      <c r="E16" s="322"/>
      <c r="F16" s="322"/>
      <c r="G16" s="322"/>
      <c r="H16" s="323" t="s">
        <v>1660</v>
      </c>
      <c r="I16" s="323" t="s">
        <v>1661</v>
      </c>
      <c r="J16" s="323" t="s">
        <v>1662</v>
      </c>
      <c r="K16" s="323" t="s">
        <v>864</v>
      </c>
      <c r="L16" s="323" t="s">
        <v>1663</v>
      </c>
      <c r="M16" s="323"/>
      <c r="N16" s="323" t="s">
        <v>1663</v>
      </c>
      <c r="O16" s="323"/>
      <c r="P16" s="323"/>
      <c r="Q16" s="323"/>
      <c r="R16" s="323"/>
      <c r="S16" s="333" t="s">
        <v>817</v>
      </c>
      <c r="T16" s="334" t="s">
        <v>817</v>
      </c>
      <c r="U16" s="335" t="s">
        <v>820</v>
      </c>
      <c r="V16" s="323" t="s">
        <v>864</v>
      </c>
      <c r="W16" s="323"/>
      <c r="X16" s="323" t="s">
        <v>863</v>
      </c>
      <c r="Y16" s="323"/>
      <c r="Z16" s="323" t="s">
        <v>1664</v>
      </c>
      <c r="AA16" s="323" t="s">
        <v>864</v>
      </c>
      <c r="AB16" s="323" t="s">
        <v>864</v>
      </c>
      <c r="AC16" s="321" t="s">
        <v>1620</v>
      </c>
      <c r="AD16" s="323"/>
      <c r="AE16" s="323"/>
      <c r="AF16" s="323"/>
      <c r="AG16" s="323">
        <v>1</v>
      </c>
      <c r="AH16" s="323">
        <v>1</v>
      </c>
      <c r="AI16" s="333" t="s">
        <v>817</v>
      </c>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26">
        <v>9</v>
      </c>
      <c r="B17" s="326"/>
      <c r="C17" s="326" t="s">
        <v>1665</v>
      </c>
      <c r="D17" s="326"/>
      <c r="E17" s="326"/>
      <c r="F17" s="326"/>
      <c r="G17" s="326"/>
      <c r="H17" s="318" t="s">
        <v>1666</v>
      </c>
      <c r="I17" s="317" t="s">
        <v>1667</v>
      </c>
      <c r="J17" s="317" t="s">
        <v>1668</v>
      </c>
      <c r="K17" s="317" t="s">
        <v>864</v>
      </c>
      <c r="L17" s="317" t="s">
        <v>1669</v>
      </c>
      <c r="M17" s="317"/>
      <c r="N17" s="317" t="s">
        <v>1669</v>
      </c>
      <c r="O17" s="317"/>
      <c r="P17" s="317"/>
      <c r="Q17" s="317"/>
      <c r="R17" s="317"/>
      <c r="S17" s="327" t="s">
        <v>817</v>
      </c>
      <c r="T17" s="329" t="s">
        <v>817</v>
      </c>
      <c r="U17" s="328" t="s">
        <v>820</v>
      </c>
      <c r="V17" s="317" t="s">
        <v>864</v>
      </c>
      <c r="W17" s="317"/>
      <c r="X17" s="317" t="s">
        <v>863</v>
      </c>
      <c r="Y17" s="317"/>
      <c r="Z17" s="317" t="s">
        <v>1670</v>
      </c>
      <c r="AA17" s="317" t="s">
        <v>864</v>
      </c>
      <c r="AB17" s="317" t="s">
        <v>864</v>
      </c>
      <c r="AC17" s="321" t="s">
        <v>1620</v>
      </c>
      <c r="AD17" s="317"/>
      <c r="AE17" s="317"/>
      <c r="AF17" s="317"/>
      <c r="AG17" s="317">
        <v>1</v>
      </c>
      <c r="AH17" s="317">
        <v>1</v>
      </c>
      <c r="AI17" s="327" t="s">
        <v>817</v>
      </c>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2">
        <v>10</v>
      </c>
      <c r="B18" s="322"/>
      <c r="C18" s="322" t="s">
        <v>1671</v>
      </c>
      <c r="D18" s="322"/>
      <c r="E18" s="322"/>
      <c r="F18" s="322"/>
      <c r="G18" s="322"/>
      <c r="H18" s="323" t="s">
        <v>1672</v>
      </c>
      <c r="I18" s="323" t="s">
        <v>1673</v>
      </c>
      <c r="J18" s="323" t="s">
        <v>1674</v>
      </c>
      <c r="K18" s="323" t="s">
        <v>864</v>
      </c>
      <c r="L18" s="323" t="s">
        <v>1675</v>
      </c>
      <c r="M18" s="323"/>
      <c r="N18" s="323" t="s">
        <v>1675</v>
      </c>
      <c r="O18" s="323"/>
      <c r="P18" s="323"/>
      <c r="Q18" s="323"/>
      <c r="R18" s="323"/>
      <c r="S18" s="333" t="s">
        <v>817</v>
      </c>
      <c r="T18" s="334" t="s">
        <v>817</v>
      </c>
      <c r="U18" s="334" t="s">
        <v>817</v>
      </c>
      <c r="V18" s="323"/>
      <c r="W18" s="323"/>
      <c r="X18" s="323" t="s">
        <v>863</v>
      </c>
      <c r="Y18" s="323"/>
      <c r="Z18" s="323" t="s">
        <v>1676</v>
      </c>
      <c r="AA18" s="323" t="s">
        <v>864</v>
      </c>
      <c r="AB18" s="323" t="s">
        <v>864</v>
      </c>
      <c r="AC18" s="321" t="s">
        <v>1620</v>
      </c>
      <c r="AD18" s="323"/>
      <c r="AE18" s="323"/>
      <c r="AF18" s="323"/>
      <c r="AG18" s="323">
        <v>1</v>
      </c>
      <c r="AH18" s="323">
        <v>1</v>
      </c>
      <c r="AI18" s="333" t="s">
        <v>817</v>
      </c>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26">
        <v>11</v>
      </c>
      <c r="B19" s="326"/>
      <c r="C19" s="326" t="s">
        <v>1677</v>
      </c>
      <c r="D19" s="326"/>
      <c r="E19" s="326"/>
      <c r="F19" s="326"/>
      <c r="G19" s="326"/>
      <c r="H19" s="317" t="s">
        <v>1678</v>
      </c>
      <c r="I19" s="317" t="s">
        <v>1679</v>
      </c>
      <c r="J19" s="317" t="s">
        <v>1680</v>
      </c>
      <c r="K19" s="317" t="s">
        <v>864</v>
      </c>
      <c r="L19" s="317" t="s">
        <v>1681</v>
      </c>
      <c r="M19" s="317"/>
      <c r="N19" s="317" t="s">
        <v>1681</v>
      </c>
      <c r="O19" s="317"/>
      <c r="P19" s="317"/>
      <c r="Q19" s="317"/>
      <c r="R19" s="317"/>
      <c r="S19" s="327" t="s">
        <v>817</v>
      </c>
      <c r="T19" s="327" t="s">
        <v>817</v>
      </c>
      <c r="U19" s="327" t="s">
        <v>817</v>
      </c>
      <c r="V19" s="317"/>
      <c r="W19" s="317"/>
      <c r="X19" s="317" t="s">
        <v>863</v>
      </c>
      <c r="Y19" s="317"/>
      <c r="Z19" s="317"/>
      <c r="AA19" s="317" t="s">
        <v>864</v>
      </c>
      <c r="AB19" s="317" t="s">
        <v>864</v>
      </c>
      <c r="AC19" s="321" t="s">
        <v>1620</v>
      </c>
      <c r="AD19" s="317"/>
      <c r="AE19" s="317"/>
      <c r="AF19" s="317"/>
      <c r="AG19" s="317">
        <v>1</v>
      </c>
      <c r="AH19" s="317">
        <v>1</v>
      </c>
      <c r="AI19" s="327" t="s">
        <v>817</v>
      </c>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36">
        <v>12</v>
      </c>
      <c r="B20" s="336"/>
      <c r="C20" s="336" t="s">
        <v>1682</v>
      </c>
      <c r="D20" s="336"/>
      <c r="E20" s="336"/>
      <c r="F20" s="336"/>
      <c r="G20" s="336"/>
      <c r="H20" s="323" t="s">
        <v>1654</v>
      </c>
      <c r="I20" s="323" t="s">
        <v>1683</v>
      </c>
      <c r="J20" s="330"/>
      <c r="K20" s="323"/>
      <c r="L20" s="323" t="s">
        <v>1684</v>
      </c>
      <c r="M20" s="323"/>
      <c r="N20" s="323" t="s">
        <v>1684</v>
      </c>
      <c r="O20" s="323"/>
      <c r="P20" s="323"/>
      <c r="Q20" s="323"/>
      <c r="R20" s="323"/>
      <c r="S20" s="333" t="s">
        <v>817</v>
      </c>
      <c r="T20" s="333" t="s">
        <v>817</v>
      </c>
      <c r="U20" s="333" t="s">
        <v>817</v>
      </c>
      <c r="V20" s="323"/>
      <c r="W20" s="323" t="s">
        <v>864</v>
      </c>
      <c r="X20" s="323" t="s">
        <v>1685</v>
      </c>
      <c r="Y20" s="323"/>
      <c r="Z20" s="323"/>
      <c r="AA20" s="323" t="s">
        <v>864</v>
      </c>
      <c r="AB20" s="323" t="s">
        <v>864</v>
      </c>
      <c r="AC20" s="332" t="s">
        <v>1620</v>
      </c>
      <c r="AD20" s="323"/>
      <c r="AE20" s="323"/>
      <c r="AF20" s="323"/>
      <c r="AG20" s="323">
        <v>1</v>
      </c>
      <c r="AH20" s="323"/>
      <c r="AI20" s="333" t="s">
        <v>817</v>
      </c>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16">
        <v>13</v>
      </c>
      <c r="B21" s="316"/>
      <c r="C21" s="316"/>
      <c r="D21" s="316" t="s">
        <v>1686</v>
      </c>
      <c r="E21" s="316"/>
      <c r="F21" s="316"/>
      <c r="G21" s="316"/>
      <c r="H21" s="317" t="s">
        <v>1687</v>
      </c>
      <c r="I21" s="317" t="s">
        <v>1688</v>
      </c>
      <c r="J21" s="317" t="s">
        <v>1329</v>
      </c>
      <c r="K21" s="317" t="s">
        <v>864</v>
      </c>
      <c r="L21" s="317" t="s">
        <v>1689</v>
      </c>
      <c r="M21" s="317"/>
      <c r="N21" s="317" t="s">
        <v>1689</v>
      </c>
      <c r="O21" s="317"/>
      <c r="P21" s="317"/>
      <c r="Q21" s="317"/>
      <c r="R21" s="317"/>
      <c r="S21" s="327" t="s">
        <v>817</v>
      </c>
      <c r="T21" s="327" t="s">
        <v>817</v>
      </c>
      <c r="U21" s="327" t="s">
        <v>817</v>
      </c>
      <c r="V21" s="317"/>
      <c r="W21" s="317"/>
      <c r="X21" s="317" t="s">
        <v>863</v>
      </c>
      <c r="Y21" s="317"/>
      <c r="Z21" s="317"/>
      <c r="AA21" s="317" t="s">
        <v>864</v>
      </c>
      <c r="AB21" s="317" t="s">
        <v>864</v>
      </c>
      <c r="AC21" s="321" t="s">
        <v>1620</v>
      </c>
      <c r="AD21" s="317"/>
      <c r="AE21" s="317"/>
      <c r="AF21" s="317"/>
      <c r="AG21" s="317">
        <v>1</v>
      </c>
      <c r="AH21" s="317"/>
      <c r="AI21" s="327" t="s">
        <v>817</v>
      </c>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36">
        <v>14</v>
      </c>
      <c r="B22" s="336"/>
      <c r="C22" s="336"/>
      <c r="D22" s="336" t="s">
        <v>1690</v>
      </c>
      <c r="E22" s="337"/>
      <c r="F22" s="336"/>
      <c r="G22" s="336"/>
      <c r="H22" s="323" t="s">
        <v>1691</v>
      </c>
      <c r="I22" s="323" t="s">
        <v>1692</v>
      </c>
      <c r="J22" s="323" t="s">
        <v>1347</v>
      </c>
      <c r="K22" s="323"/>
      <c r="L22" s="323" t="s">
        <v>1693</v>
      </c>
      <c r="M22" s="323"/>
      <c r="N22" s="323" t="s">
        <v>1693</v>
      </c>
      <c r="O22" s="323"/>
      <c r="P22" s="323"/>
      <c r="Q22" s="323"/>
      <c r="R22" s="323"/>
      <c r="S22" s="333" t="s">
        <v>817</v>
      </c>
      <c r="T22" s="333" t="s">
        <v>817</v>
      </c>
      <c r="U22" s="333" t="s">
        <v>817</v>
      </c>
      <c r="V22" s="323"/>
      <c r="W22" s="323"/>
      <c r="X22" s="323" t="s">
        <v>863</v>
      </c>
      <c r="Y22" s="323"/>
      <c r="Z22" s="323"/>
      <c r="AA22" s="323" t="s">
        <v>864</v>
      </c>
      <c r="AB22" s="323" t="s">
        <v>864</v>
      </c>
      <c r="AC22" s="321" t="s">
        <v>1620</v>
      </c>
      <c r="AD22" s="323"/>
      <c r="AE22" s="323"/>
      <c r="AF22" s="323"/>
      <c r="AG22" s="323">
        <v>1</v>
      </c>
      <c r="AH22" s="323"/>
      <c r="AI22" s="333" t="s">
        <v>817</v>
      </c>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16">
        <v>15</v>
      </c>
      <c r="B23" s="316"/>
      <c r="C23" s="316"/>
      <c r="D23" s="316" t="s">
        <v>1694</v>
      </c>
      <c r="E23" s="316"/>
      <c r="F23" s="316"/>
      <c r="G23" s="316"/>
      <c r="H23" s="317" t="s">
        <v>1695</v>
      </c>
      <c r="I23" s="317" t="s">
        <v>1696</v>
      </c>
      <c r="J23" s="317" t="s">
        <v>1697</v>
      </c>
      <c r="K23" s="317" t="s">
        <v>864</v>
      </c>
      <c r="L23" s="317" t="s">
        <v>1698</v>
      </c>
      <c r="M23" s="317"/>
      <c r="N23" s="317" t="s">
        <v>1698</v>
      </c>
      <c r="O23" s="317"/>
      <c r="P23" s="317"/>
      <c r="Q23" s="317"/>
      <c r="R23" s="317"/>
      <c r="S23" s="327" t="s">
        <v>817</v>
      </c>
      <c r="T23" s="329" t="s">
        <v>817</v>
      </c>
      <c r="U23" s="329" t="s">
        <v>817</v>
      </c>
      <c r="V23" s="317"/>
      <c r="W23" s="317"/>
      <c r="X23" s="317" t="s">
        <v>863</v>
      </c>
      <c r="Y23" s="317"/>
      <c r="Z23" s="317"/>
      <c r="AA23" s="317" t="s">
        <v>864</v>
      </c>
      <c r="AB23" s="317" t="s">
        <v>864</v>
      </c>
      <c r="AC23" s="321" t="s">
        <v>1620</v>
      </c>
      <c r="AD23" s="317"/>
      <c r="AE23" s="317"/>
      <c r="AF23" s="317"/>
      <c r="AG23" s="317">
        <v>1</v>
      </c>
      <c r="AH23" s="317"/>
      <c r="AI23" s="327" t="s">
        <v>817</v>
      </c>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36">
        <v>16</v>
      </c>
      <c r="B24" s="336"/>
      <c r="C24" s="336" t="s">
        <v>1699</v>
      </c>
      <c r="D24" s="336"/>
      <c r="E24" s="336"/>
      <c r="F24" s="336"/>
      <c r="G24" s="336"/>
      <c r="H24" s="323" t="s">
        <v>1700</v>
      </c>
      <c r="I24" s="323" t="s">
        <v>1701</v>
      </c>
      <c r="J24" s="330"/>
      <c r="K24" s="323" t="s">
        <v>864</v>
      </c>
      <c r="L24" s="323" t="s">
        <v>1702</v>
      </c>
      <c r="M24" s="323"/>
      <c r="N24" s="323" t="s">
        <v>1702</v>
      </c>
      <c r="O24" s="323"/>
      <c r="P24" s="323"/>
      <c r="Q24" s="323"/>
      <c r="R24" s="323"/>
      <c r="S24" s="331" t="s">
        <v>823</v>
      </c>
      <c r="T24" s="331" t="s">
        <v>823</v>
      </c>
      <c r="U24" s="331" t="s">
        <v>823</v>
      </c>
      <c r="V24" s="323"/>
      <c r="W24" s="323" t="s">
        <v>864</v>
      </c>
      <c r="X24" s="323" t="s">
        <v>1194</v>
      </c>
      <c r="Y24" s="323"/>
      <c r="Z24" s="323"/>
      <c r="AA24" s="323" t="s">
        <v>864</v>
      </c>
      <c r="AB24" s="323" t="s">
        <v>864</v>
      </c>
      <c r="AC24" s="321" t="s">
        <v>1620</v>
      </c>
      <c r="AD24" s="323"/>
      <c r="AE24" s="323"/>
      <c r="AF24" s="323"/>
      <c r="AG24" s="323">
        <v>1</v>
      </c>
      <c r="AH24" s="323"/>
      <c r="AI24" s="331" t="s">
        <v>823</v>
      </c>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16">
        <v>17</v>
      </c>
      <c r="B25" s="316"/>
      <c r="C25" s="316"/>
      <c r="D25" s="316" t="s">
        <v>1703</v>
      </c>
      <c r="E25" s="316"/>
      <c r="F25" s="316"/>
      <c r="G25" s="316"/>
      <c r="H25" s="317" t="s">
        <v>1654</v>
      </c>
      <c r="I25" s="317" t="s">
        <v>1704</v>
      </c>
      <c r="J25" s="317"/>
      <c r="K25" s="317"/>
      <c r="L25" s="317" t="s">
        <v>1681</v>
      </c>
      <c r="M25" s="317"/>
      <c r="N25" s="317" t="s">
        <v>1681</v>
      </c>
      <c r="O25" s="317"/>
      <c r="P25" s="317"/>
      <c r="Q25" s="317"/>
      <c r="R25" s="317"/>
      <c r="S25" s="327" t="s">
        <v>817</v>
      </c>
      <c r="T25" s="327" t="s">
        <v>817</v>
      </c>
      <c r="U25" s="327" t="s">
        <v>817</v>
      </c>
      <c r="V25" s="317"/>
      <c r="W25" s="317"/>
      <c r="X25" s="317" t="s">
        <v>863</v>
      </c>
      <c r="Y25" s="317"/>
      <c r="Z25" s="317"/>
      <c r="AA25" s="317" t="s">
        <v>864</v>
      </c>
      <c r="AB25" s="317" t="s">
        <v>864</v>
      </c>
      <c r="AC25" s="332" t="s">
        <v>1620</v>
      </c>
      <c r="AD25" s="317"/>
      <c r="AE25" s="317"/>
      <c r="AF25" s="317"/>
      <c r="AG25" s="317">
        <v>1</v>
      </c>
      <c r="AH25" s="317"/>
      <c r="AI25" s="327" t="s">
        <v>817</v>
      </c>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36">
        <v>18</v>
      </c>
      <c r="B26" s="336"/>
      <c r="C26" s="336"/>
      <c r="D26" s="336" t="s">
        <v>1705</v>
      </c>
      <c r="E26" s="337"/>
      <c r="F26" s="336"/>
      <c r="G26" s="336"/>
      <c r="H26" s="323" t="s">
        <v>1654</v>
      </c>
      <c r="I26" s="323" t="s">
        <v>1706</v>
      </c>
      <c r="J26" s="323" t="s">
        <v>1707</v>
      </c>
      <c r="K26" s="323"/>
      <c r="L26" s="323" t="s">
        <v>875</v>
      </c>
      <c r="M26" s="323"/>
      <c r="N26" s="323" t="s">
        <v>875</v>
      </c>
      <c r="O26" s="323"/>
      <c r="P26" s="323"/>
      <c r="Q26" s="323"/>
      <c r="R26" s="323"/>
      <c r="S26" s="325" t="s">
        <v>820</v>
      </c>
      <c r="T26" s="325" t="s">
        <v>820</v>
      </c>
      <c r="U26" s="325" t="s">
        <v>820</v>
      </c>
      <c r="V26" s="323"/>
      <c r="W26" s="323"/>
      <c r="X26" s="323" t="s">
        <v>863</v>
      </c>
      <c r="Y26" s="323"/>
      <c r="Z26" s="323"/>
      <c r="AA26" s="323" t="s">
        <v>864</v>
      </c>
      <c r="AB26" s="323" t="s">
        <v>864</v>
      </c>
      <c r="AC26" s="321" t="s">
        <v>1620</v>
      </c>
      <c r="AD26" s="323"/>
      <c r="AE26" s="323"/>
      <c r="AF26" s="323"/>
      <c r="AG26" s="323">
        <v>1</v>
      </c>
      <c r="AH26" s="323"/>
      <c r="AI26" s="325" t="s">
        <v>820</v>
      </c>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16">
        <v>19</v>
      </c>
      <c r="B27" s="316"/>
      <c r="C27" s="316"/>
      <c r="D27" s="316" t="s">
        <v>1089</v>
      </c>
      <c r="E27" s="316"/>
      <c r="F27" s="316"/>
      <c r="G27" s="316"/>
      <c r="H27" s="317" t="s">
        <v>1654</v>
      </c>
      <c r="I27" s="317" t="s">
        <v>1708</v>
      </c>
      <c r="J27" s="317" t="s">
        <v>1709</v>
      </c>
      <c r="K27" s="317"/>
      <c r="L27" s="317" t="s">
        <v>1710</v>
      </c>
      <c r="M27" s="317"/>
      <c r="N27" s="317" t="s">
        <v>1710</v>
      </c>
      <c r="O27" s="317"/>
      <c r="P27" s="317"/>
      <c r="Q27" s="317"/>
      <c r="R27" s="317"/>
      <c r="S27" s="327" t="s">
        <v>817</v>
      </c>
      <c r="T27" s="327" t="s">
        <v>817</v>
      </c>
      <c r="U27" s="327" t="s">
        <v>817</v>
      </c>
      <c r="V27" s="317"/>
      <c r="W27" s="317"/>
      <c r="X27" s="317" t="s">
        <v>863</v>
      </c>
      <c r="Y27" s="317"/>
      <c r="Z27" s="317" t="s">
        <v>1202</v>
      </c>
      <c r="AA27" s="317" t="s">
        <v>864</v>
      </c>
      <c r="AB27" s="317" t="s">
        <v>864</v>
      </c>
      <c r="AC27" s="321" t="s">
        <v>1620</v>
      </c>
      <c r="AD27" s="317"/>
      <c r="AE27" s="317"/>
      <c r="AF27" s="317"/>
      <c r="AG27" s="317">
        <v>1</v>
      </c>
      <c r="AH27" s="317"/>
      <c r="AI27" s="327" t="s">
        <v>817</v>
      </c>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36">
        <v>20</v>
      </c>
      <c r="B28" s="336"/>
      <c r="C28" s="336" t="s">
        <v>1711</v>
      </c>
      <c r="D28" s="337"/>
      <c r="E28" s="336"/>
      <c r="F28" s="336"/>
      <c r="G28" s="336"/>
      <c r="H28" s="323" t="s">
        <v>1712</v>
      </c>
      <c r="I28" s="323" t="s">
        <v>1713</v>
      </c>
      <c r="J28" s="323" t="s">
        <v>1714</v>
      </c>
      <c r="K28" s="323"/>
      <c r="L28" s="323" t="s">
        <v>1715</v>
      </c>
      <c r="M28" s="323"/>
      <c r="N28" s="323" t="s">
        <v>1715</v>
      </c>
      <c r="O28" s="323"/>
      <c r="P28" s="323"/>
      <c r="Q28" s="323"/>
      <c r="R28" s="323"/>
      <c r="S28" s="333" t="s">
        <v>817</v>
      </c>
      <c r="T28" s="334" t="s">
        <v>817</v>
      </c>
      <c r="U28" s="334" t="s">
        <v>817</v>
      </c>
      <c r="V28" s="323"/>
      <c r="W28" s="323"/>
      <c r="X28" s="323" t="s">
        <v>863</v>
      </c>
      <c r="Y28" s="323"/>
      <c r="Z28" s="323" t="s">
        <v>1716</v>
      </c>
      <c r="AA28" s="323" t="s">
        <v>864</v>
      </c>
      <c r="AB28" s="323" t="s">
        <v>864</v>
      </c>
      <c r="AC28" s="321" t="s">
        <v>1620</v>
      </c>
      <c r="AD28" s="323"/>
      <c r="AE28" s="323"/>
      <c r="AF28" s="323"/>
      <c r="AG28" s="323">
        <v>1</v>
      </c>
      <c r="AH28" s="323"/>
      <c r="AI28" s="333" t="s">
        <v>817</v>
      </c>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26">
        <v>21</v>
      </c>
      <c r="B29" s="326" t="s">
        <v>1717</v>
      </c>
      <c r="C29" s="326"/>
      <c r="D29" s="326"/>
      <c r="E29" s="326"/>
      <c r="F29" s="326"/>
      <c r="G29" s="326"/>
      <c r="H29" s="317" t="s">
        <v>1718</v>
      </c>
      <c r="I29" s="317" t="s">
        <v>1719</v>
      </c>
      <c r="J29" s="338"/>
      <c r="K29" s="317"/>
      <c r="L29" s="317" t="s">
        <v>1720</v>
      </c>
      <c r="M29" s="317"/>
      <c r="N29" s="317" t="s">
        <v>1720</v>
      </c>
      <c r="O29" s="317"/>
      <c r="P29" s="317"/>
      <c r="Q29" s="317"/>
      <c r="R29" s="317"/>
      <c r="S29" s="320" t="s">
        <v>820</v>
      </c>
      <c r="T29" s="320" t="s">
        <v>820</v>
      </c>
      <c r="U29" s="320" t="s">
        <v>820</v>
      </c>
      <c r="V29" s="317"/>
      <c r="W29" s="317" t="s">
        <v>864</v>
      </c>
      <c r="X29" s="317" t="s">
        <v>1721</v>
      </c>
      <c r="Y29" s="317"/>
      <c r="Z29" s="317"/>
      <c r="AA29" s="317" t="s">
        <v>864</v>
      </c>
      <c r="AB29" s="317" t="s">
        <v>864</v>
      </c>
      <c r="AC29" s="321" t="s">
        <v>1620</v>
      </c>
      <c r="AD29" s="317"/>
      <c r="AE29" s="317"/>
      <c r="AF29" s="317"/>
      <c r="AG29" s="317">
        <v>1</v>
      </c>
      <c r="AH29" s="317">
        <v>1</v>
      </c>
      <c r="AI29" s="320" t="s">
        <v>820</v>
      </c>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2">
        <v>22</v>
      </c>
      <c r="B30" s="322"/>
      <c r="C30" s="322" t="s">
        <v>1722</v>
      </c>
      <c r="D30" s="322"/>
      <c r="E30" s="322"/>
      <c r="F30" s="322"/>
      <c r="G30" s="322"/>
      <c r="H30" s="323" t="s">
        <v>1723</v>
      </c>
      <c r="I30" s="323" t="s">
        <v>1724</v>
      </c>
      <c r="J30" s="323" t="s">
        <v>947</v>
      </c>
      <c r="K30" s="323" t="s">
        <v>864</v>
      </c>
      <c r="L30" s="323" t="s">
        <v>831</v>
      </c>
      <c r="M30" s="323"/>
      <c r="N30" s="323" t="s">
        <v>831</v>
      </c>
      <c r="O30" s="323"/>
      <c r="P30" s="323"/>
      <c r="Q30" s="323"/>
      <c r="R30" s="323"/>
      <c r="S30" s="325" t="s">
        <v>820</v>
      </c>
      <c r="T30" s="325" t="s">
        <v>820</v>
      </c>
      <c r="U30" s="325" t="s">
        <v>820</v>
      </c>
      <c r="V30" s="323"/>
      <c r="W30" s="323"/>
      <c r="X30" s="323" t="s">
        <v>863</v>
      </c>
      <c r="Y30" s="323"/>
      <c r="Z30" s="323"/>
      <c r="AA30" s="323" t="s">
        <v>864</v>
      </c>
      <c r="AB30" s="323" t="s">
        <v>864</v>
      </c>
      <c r="AC30" s="332" t="s">
        <v>1620</v>
      </c>
      <c r="AD30" s="323"/>
      <c r="AE30" s="323"/>
      <c r="AF30" s="323"/>
      <c r="AG30" s="323">
        <v>1</v>
      </c>
      <c r="AH30" s="323">
        <v>1</v>
      </c>
      <c r="AI30" s="325" t="s">
        <v>820</v>
      </c>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26">
        <v>23</v>
      </c>
      <c r="B31" s="326"/>
      <c r="C31" s="326" t="s">
        <v>1725</v>
      </c>
      <c r="D31" s="326"/>
      <c r="E31" s="326"/>
      <c r="F31" s="326"/>
      <c r="G31" s="326"/>
      <c r="H31" s="317" t="s">
        <v>1726</v>
      </c>
      <c r="I31" s="317" t="s">
        <v>1727</v>
      </c>
      <c r="J31" s="317" t="s">
        <v>1728</v>
      </c>
      <c r="K31" s="317"/>
      <c r="L31" s="317" t="s">
        <v>1698</v>
      </c>
      <c r="M31" s="317"/>
      <c r="N31" s="317" t="s">
        <v>1698</v>
      </c>
      <c r="O31" s="317"/>
      <c r="P31" s="317"/>
      <c r="Q31" s="317"/>
      <c r="R31" s="317"/>
      <c r="S31" s="327" t="s">
        <v>817</v>
      </c>
      <c r="T31" s="327" t="s">
        <v>817</v>
      </c>
      <c r="U31" s="327" t="s">
        <v>817</v>
      </c>
      <c r="V31" s="317"/>
      <c r="W31" s="317"/>
      <c r="X31" s="317" t="s">
        <v>863</v>
      </c>
      <c r="Y31" s="317"/>
      <c r="Z31" s="317"/>
      <c r="AA31" s="317" t="s">
        <v>864</v>
      </c>
      <c r="AB31" s="317" t="s">
        <v>864</v>
      </c>
      <c r="AC31" s="321" t="s">
        <v>1620</v>
      </c>
      <c r="AD31" s="317"/>
      <c r="AE31" s="317"/>
      <c r="AF31" s="317"/>
      <c r="AG31" s="317">
        <v>1</v>
      </c>
      <c r="AH31" s="317">
        <v>1</v>
      </c>
      <c r="AI31" s="327" t="s">
        <v>817</v>
      </c>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2">
        <v>24</v>
      </c>
      <c r="B32" s="322"/>
      <c r="C32" s="322" t="s">
        <v>1729</v>
      </c>
      <c r="D32" s="322"/>
      <c r="E32" s="322"/>
      <c r="F32" s="322"/>
      <c r="G32" s="322"/>
      <c r="H32" s="323" t="s">
        <v>1730</v>
      </c>
      <c r="I32" s="323" t="s">
        <v>1731</v>
      </c>
      <c r="J32" s="323" t="s">
        <v>1658</v>
      </c>
      <c r="K32" s="323"/>
      <c r="L32" s="323" t="s">
        <v>1732</v>
      </c>
      <c r="M32" s="323"/>
      <c r="N32" s="323" t="s">
        <v>1732</v>
      </c>
      <c r="O32" s="323"/>
      <c r="P32" s="323"/>
      <c r="Q32" s="323"/>
      <c r="R32" s="323"/>
      <c r="S32" s="333" t="s">
        <v>817</v>
      </c>
      <c r="T32" s="335" t="s">
        <v>820</v>
      </c>
      <c r="U32" s="334" t="s">
        <v>817</v>
      </c>
      <c r="V32" s="323" t="s">
        <v>864</v>
      </c>
      <c r="W32" s="323"/>
      <c r="X32" s="323" t="s">
        <v>863</v>
      </c>
      <c r="Y32" s="323"/>
      <c r="Z32" s="323"/>
      <c r="AA32" s="323" t="s">
        <v>864</v>
      </c>
      <c r="AB32" s="323" t="s">
        <v>864</v>
      </c>
      <c r="AC32" s="321" t="s">
        <v>1620</v>
      </c>
      <c r="AD32" s="323"/>
      <c r="AE32" s="323"/>
      <c r="AF32" s="323"/>
      <c r="AG32" s="323">
        <v>1</v>
      </c>
      <c r="AH32" s="323">
        <v>1</v>
      </c>
      <c r="AI32" s="333" t="s">
        <v>817</v>
      </c>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26">
        <v>25</v>
      </c>
      <c r="B33" s="326"/>
      <c r="C33" s="326" t="s">
        <v>1733</v>
      </c>
      <c r="D33" s="326"/>
      <c r="E33" s="326"/>
      <c r="F33" s="326"/>
      <c r="G33" s="326"/>
      <c r="H33" s="317" t="s">
        <v>1654</v>
      </c>
      <c r="I33" s="317" t="s">
        <v>1734</v>
      </c>
      <c r="J33" s="338"/>
      <c r="K33" s="317" t="s">
        <v>864</v>
      </c>
      <c r="L33" s="317" t="s">
        <v>1735</v>
      </c>
      <c r="M33" s="317"/>
      <c r="N33" s="317" t="s">
        <v>1735</v>
      </c>
      <c r="O33" s="317"/>
      <c r="P33" s="317"/>
      <c r="Q33" s="317"/>
      <c r="R33" s="317"/>
      <c r="S33" s="327" t="s">
        <v>817</v>
      </c>
      <c r="T33" s="329" t="s">
        <v>817</v>
      </c>
      <c r="U33" s="329" t="s">
        <v>817</v>
      </c>
      <c r="V33" s="317"/>
      <c r="W33" s="317" t="s">
        <v>864</v>
      </c>
      <c r="X33" s="317" t="s">
        <v>1736</v>
      </c>
      <c r="Y33" s="317"/>
      <c r="Z33" s="317"/>
      <c r="AA33" s="317" t="s">
        <v>864</v>
      </c>
      <c r="AB33" s="317" t="s">
        <v>864</v>
      </c>
      <c r="AC33" s="321" t="s">
        <v>1620</v>
      </c>
      <c r="AD33" s="317"/>
      <c r="AE33" s="317"/>
      <c r="AF33" s="317"/>
      <c r="AG33" s="317">
        <v>1</v>
      </c>
      <c r="AH33" s="317">
        <v>1</v>
      </c>
      <c r="AI33" s="327" t="s">
        <v>817</v>
      </c>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2">
        <v>26</v>
      </c>
      <c r="B34" s="322"/>
      <c r="C34" s="322"/>
      <c r="D34" s="322" t="s">
        <v>1737</v>
      </c>
      <c r="E34" s="339"/>
      <c r="F34" s="322"/>
      <c r="G34" s="322"/>
      <c r="H34" s="323" t="s">
        <v>1738</v>
      </c>
      <c r="I34" s="323" t="s">
        <v>1739</v>
      </c>
      <c r="J34" s="323" t="s">
        <v>1740</v>
      </c>
      <c r="K34" s="323" t="s">
        <v>864</v>
      </c>
      <c r="L34" s="323" t="s">
        <v>1741</v>
      </c>
      <c r="M34" s="323"/>
      <c r="N34" s="323" t="s">
        <v>1741</v>
      </c>
      <c r="O34" s="323"/>
      <c r="P34" s="323"/>
      <c r="Q34" s="323"/>
      <c r="R34" s="323"/>
      <c r="S34" s="323" t="s">
        <v>893</v>
      </c>
      <c r="T34" s="323" t="s">
        <v>893</v>
      </c>
      <c r="U34" s="323" t="s">
        <v>893</v>
      </c>
      <c r="V34" s="323"/>
      <c r="W34" s="323"/>
      <c r="X34" s="323" t="s">
        <v>863</v>
      </c>
      <c r="Y34" s="323"/>
      <c r="Z34" s="323" t="s">
        <v>1742</v>
      </c>
      <c r="AA34" s="323" t="s">
        <v>864</v>
      </c>
      <c r="AB34" s="323" t="s">
        <v>864</v>
      </c>
      <c r="AC34" s="321" t="s">
        <v>1620</v>
      </c>
      <c r="AD34" s="323"/>
      <c r="AE34" s="323"/>
      <c r="AF34" s="323"/>
      <c r="AG34" s="323">
        <v>1</v>
      </c>
      <c r="AH34" s="323">
        <v>1</v>
      </c>
      <c r="AI34" s="323" t="s">
        <v>893</v>
      </c>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26">
        <v>27</v>
      </c>
      <c r="B35" s="326"/>
      <c r="C35" s="326"/>
      <c r="D35" s="326" t="s">
        <v>1743</v>
      </c>
      <c r="E35" s="326"/>
      <c r="F35" s="326"/>
      <c r="G35" s="326"/>
      <c r="H35" s="317" t="s">
        <v>1744</v>
      </c>
      <c r="I35" s="317" t="s">
        <v>1745</v>
      </c>
      <c r="J35" s="317" t="s">
        <v>1746</v>
      </c>
      <c r="K35" s="317" t="s">
        <v>864</v>
      </c>
      <c r="L35" s="317" t="s">
        <v>1747</v>
      </c>
      <c r="M35" s="317"/>
      <c r="N35" s="317" t="s">
        <v>1747</v>
      </c>
      <c r="O35" s="317"/>
      <c r="P35" s="317"/>
      <c r="Q35" s="317"/>
      <c r="R35" s="317"/>
      <c r="S35" s="317" t="s">
        <v>893</v>
      </c>
      <c r="T35" s="317" t="s">
        <v>893</v>
      </c>
      <c r="U35" s="317" t="s">
        <v>893</v>
      </c>
      <c r="V35" s="317"/>
      <c r="W35" s="317"/>
      <c r="X35" s="317" t="s">
        <v>863</v>
      </c>
      <c r="Y35" s="317"/>
      <c r="Z35" s="317" t="s">
        <v>1748</v>
      </c>
      <c r="AA35" s="317" t="s">
        <v>864</v>
      </c>
      <c r="AB35" s="317" t="s">
        <v>864</v>
      </c>
      <c r="AC35" s="332" t="s">
        <v>1620</v>
      </c>
      <c r="AD35" s="317"/>
      <c r="AE35" s="317"/>
      <c r="AF35" s="317"/>
      <c r="AG35" s="317">
        <v>1</v>
      </c>
      <c r="AH35" s="317">
        <v>1</v>
      </c>
      <c r="AI35" s="317" t="s">
        <v>893</v>
      </c>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2">
        <v>28</v>
      </c>
      <c r="B36" s="322"/>
      <c r="C36" s="322"/>
      <c r="D36" s="322" t="s">
        <v>1749</v>
      </c>
      <c r="E36" s="322"/>
      <c r="F36" s="322"/>
      <c r="G36" s="322"/>
      <c r="H36" s="323" t="s">
        <v>1750</v>
      </c>
      <c r="I36" s="323" t="s">
        <v>1751</v>
      </c>
      <c r="J36" s="323" t="s">
        <v>1752</v>
      </c>
      <c r="K36" s="323" t="s">
        <v>864</v>
      </c>
      <c r="L36" s="323" t="s">
        <v>1753</v>
      </c>
      <c r="M36" s="323"/>
      <c r="N36" s="323" t="s">
        <v>1753</v>
      </c>
      <c r="O36" s="323"/>
      <c r="P36" s="323"/>
      <c r="Q36" s="323"/>
      <c r="R36" s="323"/>
      <c r="S36" s="323" t="s">
        <v>893</v>
      </c>
      <c r="T36" s="323" t="s">
        <v>893</v>
      </c>
      <c r="U36" s="323" t="s">
        <v>893</v>
      </c>
      <c r="V36" s="323"/>
      <c r="W36" s="323"/>
      <c r="X36" s="323" t="s">
        <v>863</v>
      </c>
      <c r="Y36" s="323"/>
      <c r="Z36" s="323"/>
      <c r="AA36" s="323" t="s">
        <v>864</v>
      </c>
      <c r="AB36" s="323" t="s">
        <v>864</v>
      </c>
      <c r="AC36" s="321" t="s">
        <v>1620</v>
      </c>
      <c r="AD36" s="323"/>
      <c r="AE36" s="323"/>
      <c r="AF36" s="323"/>
      <c r="AG36" s="323">
        <v>1</v>
      </c>
      <c r="AH36" s="323">
        <v>1</v>
      </c>
      <c r="AI36" s="323" t="s">
        <v>893</v>
      </c>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26">
        <v>29</v>
      </c>
      <c r="B37" s="326"/>
      <c r="C37" s="326"/>
      <c r="D37" s="326" t="s">
        <v>1754</v>
      </c>
      <c r="E37" s="326"/>
      <c r="F37" s="326"/>
      <c r="G37" s="326"/>
      <c r="H37" s="317" t="s">
        <v>1654</v>
      </c>
      <c r="I37" s="317" t="s">
        <v>1755</v>
      </c>
      <c r="J37" s="317" t="s">
        <v>1756</v>
      </c>
      <c r="K37" s="317"/>
      <c r="L37" s="317" t="s">
        <v>1757</v>
      </c>
      <c r="M37" s="317"/>
      <c r="N37" s="317" t="s">
        <v>1757</v>
      </c>
      <c r="O37" s="317"/>
      <c r="P37" s="317"/>
      <c r="Q37" s="317"/>
      <c r="R37" s="317"/>
      <c r="S37" s="327" t="s">
        <v>817</v>
      </c>
      <c r="T37" s="327" t="s">
        <v>817</v>
      </c>
      <c r="U37" s="327" t="s">
        <v>817</v>
      </c>
      <c r="V37" s="317"/>
      <c r="W37" s="317"/>
      <c r="X37" s="317" t="s">
        <v>863</v>
      </c>
      <c r="Y37" s="317"/>
      <c r="Z37" s="317" t="s">
        <v>1758</v>
      </c>
      <c r="AA37" s="317" t="s">
        <v>864</v>
      </c>
      <c r="AB37" s="317" t="s">
        <v>864</v>
      </c>
      <c r="AC37" s="321" t="s">
        <v>1620</v>
      </c>
      <c r="AD37" s="317"/>
      <c r="AE37" s="317"/>
      <c r="AF37" s="317"/>
      <c r="AG37" s="317">
        <v>1</v>
      </c>
      <c r="AH37" s="317">
        <v>1</v>
      </c>
      <c r="AI37" s="327" t="s">
        <v>817</v>
      </c>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2">
        <v>30</v>
      </c>
      <c r="B38" s="322"/>
      <c r="C38" s="322" t="s">
        <v>1759</v>
      </c>
      <c r="D38" s="322"/>
      <c r="E38" s="322"/>
      <c r="F38" s="322"/>
      <c r="G38" s="322"/>
      <c r="H38" s="323" t="s">
        <v>1654</v>
      </c>
      <c r="I38" s="323" t="s">
        <v>1760</v>
      </c>
      <c r="J38" s="323" t="s">
        <v>1761</v>
      </c>
      <c r="K38" s="323"/>
      <c r="L38" s="323" t="s">
        <v>1762</v>
      </c>
      <c r="M38" s="323"/>
      <c r="N38" s="323" t="s">
        <v>1762</v>
      </c>
      <c r="O38" s="323"/>
      <c r="P38" s="323"/>
      <c r="Q38" s="323"/>
      <c r="R38" s="323"/>
      <c r="S38" s="333" t="s">
        <v>817</v>
      </c>
      <c r="T38" s="334" t="s">
        <v>817</v>
      </c>
      <c r="U38" s="334" t="s">
        <v>817</v>
      </c>
      <c r="V38" s="323"/>
      <c r="W38" s="323"/>
      <c r="X38" s="323" t="s">
        <v>863</v>
      </c>
      <c r="Y38" s="323"/>
      <c r="Z38" s="323" t="s">
        <v>1763</v>
      </c>
      <c r="AA38" s="323" t="s">
        <v>864</v>
      </c>
      <c r="AB38" s="323" t="s">
        <v>864</v>
      </c>
      <c r="AC38" s="321" t="s">
        <v>1620</v>
      </c>
      <c r="AD38" s="323"/>
      <c r="AE38" s="323"/>
      <c r="AF38" s="323"/>
      <c r="AG38" s="323">
        <v>1</v>
      </c>
      <c r="AH38" s="323">
        <v>1</v>
      </c>
      <c r="AI38" s="333" t="s">
        <v>817</v>
      </c>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26">
        <v>31</v>
      </c>
      <c r="B39" s="326"/>
      <c r="C39" s="326" t="s">
        <v>1764</v>
      </c>
      <c r="D39" s="340"/>
      <c r="E39" s="326"/>
      <c r="F39" s="326"/>
      <c r="G39" s="326"/>
      <c r="H39" s="317" t="s">
        <v>1765</v>
      </c>
      <c r="I39" s="317" t="s">
        <v>1766</v>
      </c>
      <c r="J39" s="317">
        <v>2</v>
      </c>
      <c r="K39" s="317" t="s">
        <v>864</v>
      </c>
      <c r="L39" s="317" t="s">
        <v>1767</v>
      </c>
      <c r="M39" s="317"/>
      <c r="N39" s="317" t="s">
        <v>1767</v>
      </c>
      <c r="O39" s="317"/>
      <c r="P39" s="317"/>
      <c r="Q39" s="317"/>
      <c r="R39" s="317"/>
      <c r="S39" s="327" t="s">
        <v>817</v>
      </c>
      <c r="T39" s="327" t="s">
        <v>817</v>
      </c>
      <c r="U39" s="327" t="s">
        <v>817</v>
      </c>
      <c r="V39" s="317"/>
      <c r="W39" s="317"/>
      <c r="X39" s="317" t="s">
        <v>863</v>
      </c>
      <c r="Y39" s="317"/>
      <c r="Z39" s="317" t="s">
        <v>1768</v>
      </c>
      <c r="AA39" s="317" t="s">
        <v>864</v>
      </c>
      <c r="AB39" s="317" t="s">
        <v>864</v>
      </c>
      <c r="AC39" s="321" t="s">
        <v>1620</v>
      </c>
      <c r="AD39" s="317"/>
      <c r="AE39" s="317"/>
      <c r="AF39" s="317"/>
      <c r="AG39" s="317">
        <v>1</v>
      </c>
      <c r="AH39" s="317">
        <v>1</v>
      </c>
      <c r="AI39" s="327" t="s">
        <v>817</v>
      </c>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2">
        <v>32</v>
      </c>
      <c r="B40" s="322"/>
      <c r="C40" s="322" t="s">
        <v>1769</v>
      </c>
      <c r="D40" s="322"/>
      <c r="E40" s="322"/>
      <c r="F40" s="322"/>
      <c r="G40" s="322"/>
      <c r="H40" s="323" t="s">
        <v>1770</v>
      </c>
      <c r="I40" s="323" t="s">
        <v>1771</v>
      </c>
      <c r="J40" s="323">
        <v>100</v>
      </c>
      <c r="K40" s="323"/>
      <c r="L40" s="323" t="s">
        <v>1772</v>
      </c>
      <c r="M40" s="323"/>
      <c r="N40" s="323" t="s">
        <v>1772</v>
      </c>
      <c r="O40" s="323"/>
      <c r="P40" s="323"/>
      <c r="Q40" s="323"/>
      <c r="R40" s="323"/>
      <c r="S40" s="333" t="s">
        <v>817</v>
      </c>
      <c r="T40" s="333" t="s">
        <v>817</v>
      </c>
      <c r="U40" s="333" t="s">
        <v>817</v>
      </c>
      <c r="V40" s="323"/>
      <c r="W40" s="323"/>
      <c r="X40" s="323" t="s">
        <v>1368</v>
      </c>
      <c r="Y40" s="323"/>
      <c r="Z40" s="323"/>
      <c r="AA40" s="323" t="s">
        <v>864</v>
      </c>
      <c r="AB40" s="323" t="s">
        <v>864</v>
      </c>
      <c r="AC40" s="332" t="s">
        <v>1620</v>
      </c>
      <c r="AD40" s="323"/>
      <c r="AE40" s="323"/>
      <c r="AF40" s="323"/>
      <c r="AG40" s="323">
        <v>1</v>
      </c>
      <c r="AH40" s="323">
        <v>1</v>
      </c>
      <c r="AI40" s="333" t="s">
        <v>817</v>
      </c>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26">
        <v>33</v>
      </c>
      <c r="B41" s="326"/>
      <c r="C41" s="326" t="s">
        <v>1773</v>
      </c>
      <c r="D41" s="340"/>
      <c r="E41" s="326"/>
      <c r="F41" s="326"/>
      <c r="G41" s="326"/>
      <c r="H41" s="317" t="s">
        <v>1774</v>
      </c>
      <c r="I41" s="317" t="s">
        <v>1775</v>
      </c>
      <c r="J41" s="317" t="s">
        <v>1776</v>
      </c>
      <c r="K41" s="317" t="s">
        <v>864</v>
      </c>
      <c r="L41" s="317" t="s">
        <v>1777</v>
      </c>
      <c r="M41" s="317"/>
      <c r="N41" s="317" t="s">
        <v>1777</v>
      </c>
      <c r="O41" s="317"/>
      <c r="P41" s="317"/>
      <c r="Q41" s="317"/>
      <c r="R41" s="317"/>
      <c r="S41" s="327" t="s">
        <v>817</v>
      </c>
      <c r="T41" s="327" t="s">
        <v>817</v>
      </c>
      <c r="U41" s="327" t="s">
        <v>817</v>
      </c>
      <c r="V41" s="317"/>
      <c r="W41" s="317"/>
      <c r="X41" s="317" t="s">
        <v>879</v>
      </c>
      <c r="Y41" s="317"/>
      <c r="Z41" s="317" t="s">
        <v>932</v>
      </c>
      <c r="AA41" s="317" t="s">
        <v>864</v>
      </c>
      <c r="AB41" s="317" t="s">
        <v>864</v>
      </c>
      <c r="AC41" s="321" t="s">
        <v>1620</v>
      </c>
      <c r="AD41" s="317"/>
      <c r="AE41" s="317"/>
      <c r="AF41" s="317"/>
      <c r="AG41" s="317">
        <v>1</v>
      </c>
      <c r="AH41" s="317">
        <v>1</v>
      </c>
      <c r="AI41" s="327" t="s">
        <v>817</v>
      </c>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2">
        <v>34</v>
      </c>
      <c r="B42" s="322"/>
      <c r="C42" s="322" t="s">
        <v>1778</v>
      </c>
      <c r="D42" s="339"/>
      <c r="E42" s="322"/>
      <c r="F42" s="322"/>
      <c r="G42" s="322"/>
      <c r="H42" s="323" t="s">
        <v>1779</v>
      </c>
      <c r="I42" s="323" t="s">
        <v>1780</v>
      </c>
      <c r="J42" s="323" t="s">
        <v>1781</v>
      </c>
      <c r="K42" s="323" t="s">
        <v>864</v>
      </c>
      <c r="L42" s="323" t="s">
        <v>1782</v>
      </c>
      <c r="M42" s="323"/>
      <c r="N42" s="323" t="s">
        <v>1782</v>
      </c>
      <c r="O42" s="323"/>
      <c r="P42" s="323"/>
      <c r="Q42" s="323"/>
      <c r="R42" s="323"/>
      <c r="S42" s="333" t="s">
        <v>817</v>
      </c>
      <c r="T42" s="333" t="s">
        <v>817</v>
      </c>
      <c r="U42" s="333" t="s">
        <v>817</v>
      </c>
      <c r="V42" s="323"/>
      <c r="W42" s="323"/>
      <c r="X42" s="323" t="s">
        <v>879</v>
      </c>
      <c r="Y42" s="323"/>
      <c r="Z42" s="323" t="s">
        <v>932</v>
      </c>
      <c r="AA42" s="323" t="s">
        <v>864</v>
      </c>
      <c r="AB42" s="323" t="s">
        <v>864</v>
      </c>
      <c r="AC42" s="321" t="s">
        <v>1620</v>
      </c>
      <c r="AD42" s="323"/>
      <c r="AE42" s="323"/>
      <c r="AF42" s="323"/>
      <c r="AG42" s="323">
        <v>1</v>
      </c>
      <c r="AH42" s="323">
        <v>1</v>
      </c>
      <c r="AI42" s="333" t="s">
        <v>817</v>
      </c>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26">
        <v>35</v>
      </c>
      <c r="B43" s="326"/>
      <c r="C43" s="326" t="s">
        <v>1783</v>
      </c>
      <c r="D43" s="340"/>
      <c r="E43" s="340"/>
      <c r="F43" s="326"/>
      <c r="G43" s="326"/>
      <c r="H43" s="317" t="s">
        <v>1784</v>
      </c>
      <c r="I43" s="317" t="s">
        <v>1785</v>
      </c>
      <c r="J43" s="317" t="s">
        <v>1786</v>
      </c>
      <c r="K43" s="317" t="s">
        <v>864</v>
      </c>
      <c r="L43" s="317" t="s">
        <v>1787</v>
      </c>
      <c r="M43" s="317"/>
      <c r="N43" s="317" t="s">
        <v>1787</v>
      </c>
      <c r="O43" s="317"/>
      <c r="P43" s="317"/>
      <c r="Q43" s="317"/>
      <c r="R43" s="317"/>
      <c r="S43" s="327" t="s">
        <v>817</v>
      </c>
      <c r="T43" s="329" t="s">
        <v>817</v>
      </c>
      <c r="U43" s="329" t="s">
        <v>817</v>
      </c>
      <c r="V43" s="317"/>
      <c r="W43" s="317"/>
      <c r="X43" s="317" t="s">
        <v>879</v>
      </c>
      <c r="Y43" s="317"/>
      <c r="Z43" s="317" t="s">
        <v>932</v>
      </c>
      <c r="AA43" s="317" t="s">
        <v>864</v>
      </c>
      <c r="AB43" s="317" t="s">
        <v>864</v>
      </c>
      <c r="AC43" s="321" t="s">
        <v>1620</v>
      </c>
      <c r="AD43" s="317"/>
      <c r="AE43" s="317"/>
      <c r="AF43" s="317"/>
      <c r="AG43" s="317">
        <v>1</v>
      </c>
      <c r="AH43" s="317">
        <v>1</v>
      </c>
      <c r="AI43" s="327" t="s">
        <v>817</v>
      </c>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2">
        <v>36</v>
      </c>
      <c r="B44" s="322"/>
      <c r="C44" s="322" t="s">
        <v>1788</v>
      </c>
      <c r="D44" s="322"/>
      <c r="E44" s="322"/>
      <c r="F44" s="322"/>
      <c r="G44" s="322"/>
      <c r="H44" s="323" t="s">
        <v>1789</v>
      </c>
      <c r="I44" s="323" t="s">
        <v>1790</v>
      </c>
      <c r="J44" s="323" t="s">
        <v>1791</v>
      </c>
      <c r="K44" s="323" t="s">
        <v>864</v>
      </c>
      <c r="L44" s="323" t="s">
        <v>1792</v>
      </c>
      <c r="M44" s="323"/>
      <c r="N44" s="323" t="s">
        <v>1792</v>
      </c>
      <c r="O44" s="323"/>
      <c r="P44" s="323"/>
      <c r="Q44" s="323"/>
      <c r="R44" s="323"/>
      <c r="S44" s="333" t="s">
        <v>817</v>
      </c>
      <c r="T44" s="333" t="s">
        <v>817</v>
      </c>
      <c r="U44" s="333" t="s">
        <v>817</v>
      </c>
      <c r="V44" s="323"/>
      <c r="W44" s="323"/>
      <c r="X44" s="323" t="s">
        <v>863</v>
      </c>
      <c r="Y44" s="323"/>
      <c r="Z44" s="323" t="s">
        <v>1793</v>
      </c>
      <c r="AA44" s="323" t="s">
        <v>864</v>
      </c>
      <c r="AB44" s="323" t="s">
        <v>864</v>
      </c>
      <c r="AC44" s="321" t="s">
        <v>1620</v>
      </c>
      <c r="AD44" s="323"/>
      <c r="AE44" s="323"/>
      <c r="AF44" s="323"/>
      <c r="AG44" s="323">
        <v>1</v>
      </c>
      <c r="AH44" s="323">
        <v>1</v>
      </c>
      <c r="AI44" s="333" t="s">
        <v>817</v>
      </c>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26">
        <v>37</v>
      </c>
      <c r="B45" s="326"/>
      <c r="C45" s="326" t="s">
        <v>1794</v>
      </c>
      <c r="D45" s="340"/>
      <c r="E45" s="326"/>
      <c r="F45" s="326"/>
      <c r="G45" s="326"/>
      <c r="H45" s="317" t="s">
        <v>1654</v>
      </c>
      <c r="I45" s="317" t="s">
        <v>1795</v>
      </c>
      <c r="J45" s="317" t="s">
        <v>1796</v>
      </c>
      <c r="K45" s="317"/>
      <c r="L45" s="317" t="s">
        <v>1797</v>
      </c>
      <c r="M45" s="317"/>
      <c r="N45" s="317" t="s">
        <v>1797</v>
      </c>
      <c r="O45" s="317"/>
      <c r="P45" s="317"/>
      <c r="Q45" s="317"/>
      <c r="R45" s="317"/>
      <c r="S45" s="327" t="s">
        <v>817</v>
      </c>
      <c r="T45" s="327" t="s">
        <v>817</v>
      </c>
      <c r="U45" s="327" t="s">
        <v>817</v>
      </c>
      <c r="V45" s="317"/>
      <c r="W45" s="317"/>
      <c r="X45" s="317" t="s">
        <v>863</v>
      </c>
      <c r="Y45" s="317"/>
      <c r="Z45" s="317" t="s">
        <v>1798</v>
      </c>
      <c r="AA45" s="317" t="s">
        <v>864</v>
      </c>
      <c r="AB45" s="317" t="s">
        <v>864</v>
      </c>
      <c r="AC45" s="332" t="s">
        <v>1620</v>
      </c>
      <c r="AD45" s="317"/>
      <c r="AE45" s="317"/>
      <c r="AF45" s="317"/>
      <c r="AG45" s="317">
        <v>1</v>
      </c>
      <c r="AH45" s="317">
        <v>1</v>
      </c>
      <c r="AI45" s="327" t="s">
        <v>817</v>
      </c>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2">
        <v>38</v>
      </c>
      <c r="B46" s="322"/>
      <c r="C46" s="322" t="s">
        <v>1799</v>
      </c>
      <c r="D46" s="339"/>
      <c r="E46" s="322"/>
      <c r="F46" s="322"/>
      <c r="G46" s="322"/>
      <c r="H46" s="323" t="s">
        <v>1800</v>
      </c>
      <c r="I46" s="323" t="s">
        <v>1801</v>
      </c>
      <c r="J46" s="330"/>
      <c r="K46" s="323"/>
      <c r="L46" s="323" t="s">
        <v>1802</v>
      </c>
      <c r="M46" s="323"/>
      <c r="N46" s="323" t="s">
        <v>1802</v>
      </c>
      <c r="O46" s="323"/>
      <c r="P46" s="323"/>
      <c r="Q46" s="323"/>
      <c r="R46" s="323"/>
      <c r="S46" s="331" t="s">
        <v>823</v>
      </c>
      <c r="T46" s="331" t="s">
        <v>823</v>
      </c>
      <c r="U46" s="331" t="s">
        <v>823</v>
      </c>
      <c r="V46" s="323"/>
      <c r="W46" s="323" t="s">
        <v>864</v>
      </c>
      <c r="X46" s="323" t="s">
        <v>1803</v>
      </c>
      <c r="Y46" s="323"/>
      <c r="Z46" s="323"/>
      <c r="AA46" s="323" t="s">
        <v>864</v>
      </c>
      <c r="AB46" s="323" t="s">
        <v>864</v>
      </c>
      <c r="AC46" s="321" t="s">
        <v>1620</v>
      </c>
      <c r="AD46" s="323"/>
      <c r="AE46" s="323"/>
      <c r="AF46" s="323"/>
      <c r="AG46" s="323">
        <v>1</v>
      </c>
      <c r="AH46" s="323">
        <v>1</v>
      </c>
      <c r="AI46" s="331" t="s">
        <v>823</v>
      </c>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26">
        <v>39</v>
      </c>
      <c r="B47" s="326"/>
      <c r="C47" s="326"/>
      <c r="D47" s="326" t="s">
        <v>1804</v>
      </c>
      <c r="E47" s="326"/>
      <c r="F47" s="326"/>
      <c r="G47" s="326"/>
      <c r="H47" s="317" t="s">
        <v>1805</v>
      </c>
      <c r="I47" s="317" t="s">
        <v>1806</v>
      </c>
      <c r="J47" s="317" t="s">
        <v>1807</v>
      </c>
      <c r="K47" s="317"/>
      <c r="L47" s="317" t="s">
        <v>1689</v>
      </c>
      <c r="M47" s="317"/>
      <c r="N47" s="317" t="s">
        <v>1689</v>
      </c>
      <c r="O47" s="317"/>
      <c r="P47" s="317"/>
      <c r="Q47" s="317"/>
      <c r="R47" s="317"/>
      <c r="S47" s="320" t="s">
        <v>820</v>
      </c>
      <c r="T47" s="320" t="s">
        <v>820</v>
      </c>
      <c r="U47" s="320" t="s">
        <v>820</v>
      </c>
      <c r="V47" s="317"/>
      <c r="W47" s="317"/>
      <c r="X47" s="317" t="s">
        <v>863</v>
      </c>
      <c r="Y47" s="317"/>
      <c r="Z47" s="317"/>
      <c r="AA47" s="317" t="s">
        <v>864</v>
      </c>
      <c r="AB47" s="317" t="s">
        <v>864</v>
      </c>
      <c r="AC47" s="321" t="s">
        <v>1620</v>
      </c>
      <c r="AD47" s="317"/>
      <c r="AE47" s="317"/>
      <c r="AF47" s="317"/>
      <c r="AG47" s="317">
        <v>1</v>
      </c>
      <c r="AH47" s="317">
        <v>1</v>
      </c>
      <c r="AI47" s="320" t="s">
        <v>820</v>
      </c>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2">
        <v>40</v>
      </c>
      <c r="B48" s="322"/>
      <c r="C48" s="322"/>
      <c r="D48" s="322" t="s">
        <v>1808</v>
      </c>
      <c r="E48" s="322"/>
      <c r="F48" s="322"/>
      <c r="G48" s="322"/>
      <c r="H48" s="323" t="s">
        <v>1809</v>
      </c>
      <c r="I48" s="323" t="s">
        <v>1810</v>
      </c>
      <c r="J48" s="323"/>
      <c r="K48" s="323"/>
      <c r="L48" s="323" t="s">
        <v>1811</v>
      </c>
      <c r="M48" s="323"/>
      <c r="N48" s="323" t="s">
        <v>1811</v>
      </c>
      <c r="O48" s="323"/>
      <c r="P48" s="323"/>
      <c r="Q48" s="323"/>
      <c r="R48" s="323"/>
      <c r="S48" s="323" t="s">
        <v>893</v>
      </c>
      <c r="T48" s="341" t="s">
        <v>893</v>
      </c>
      <c r="U48" s="341" t="s">
        <v>893</v>
      </c>
      <c r="V48" s="323"/>
      <c r="W48" s="323"/>
      <c r="X48" s="323" t="s">
        <v>863</v>
      </c>
      <c r="Y48" s="323"/>
      <c r="Z48" s="323"/>
      <c r="AA48" s="323" t="s">
        <v>864</v>
      </c>
      <c r="AB48" s="323" t="s">
        <v>864</v>
      </c>
      <c r="AC48" s="321" t="s">
        <v>1620</v>
      </c>
      <c r="AD48" s="323"/>
      <c r="AE48" s="323"/>
      <c r="AF48" s="323"/>
      <c r="AG48" s="323">
        <v>1</v>
      </c>
      <c r="AH48" s="323">
        <v>1</v>
      </c>
      <c r="AI48" s="323" t="s">
        <v>893</v>
      </c>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2">
        <v>41</v>
      </c>
      <c r="B49" s="342"/>
      <c r="C49" s="342" t="s">
        <v>1812</v>
      </c>
      <c r="D49" s="343"/>
      <c r="E49" s="343"/>
      <c r="F49" s="343"/>
      <c r="G49" s="343"/>
      <c r="H49" s="317" t="s">
        <v>1813</v>
      </c>
      <c r="I49" s="317" t="s">
        <v>1814</v>
      </c>
      <c r="J49" s="338"/>
      <c r="K49" s="317"/>
      <c r="L49" s="317" t="s">
        <v>1815</v>
      </c>
      <c r="M49" s="317"/>
      <c r="N49" s="317" t="s">
        <v>1815</v>
      </c>
      <c r="O49" s="317"/>
      <c r="P49" s="317"/>
      <c r="Q49" s="317"/>
      <c r="R49" s="317"/>
      <c r="S49" s="344" t="s">
        <v>823</v>
      </c>
      <c r="T49" s="344" t="s">
        <v>823</v>
      </c>
      <c r="U49" s="344" t="s">
        <v>823</v>
      </c>
      <c r="V49" s="317"/>
      <c r="W49" s="317" t="s">
        <v>864</v>
      </c>
      <c r="X49" s="317" t="s">
        <v>1816</v>
      </c>
      <c r="Y49" s="317"/>
      <c r="Z49" s="317"/>
      <c r="AA49" s="317" t="s">
        <v>864</v>
      </c>
      <c r="AB49" s="317" t="s">
        <v>864</v>
      </c>
      <c r="AC49" s="321" t="s">
        <v>1620</v>
      </c>
      <c r="AD49" s="317"/>
      <c r="AE49" s="317"/>
      <c r="AF49" s="317"/>
      <c r="AG49" s="317"/>
      <c r="AH49" s="317"/>
      <c r="AI49" s="344" t="s">
        <v>823</v>
      </c>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45">
        <v>42</v>
      </c>
      <c r="B50" s="345"/>
      <c r="C50" s="345"/>
      <c r="D50" s="345" t="s">
        <v>1630</v>
      </c>
      <c r="E50" s="345"/>
      <c r="F50" s="345"/>
      <c r="G50" s="345"/>
      <c r="H50" s="323" t="s">
        <v>1817</v>
      </c>
      <c r="I50" s="323" t="s">
        <v>1818</v>
      </c>
      <c r="J50" s="323" t="s">
        <v>1819</v>
      </c>
      <c r="K50" s="323"/>
      <c r="L50" s="323" t="s">
        <v>1633</v>
      </c>
      <c r="M50" s="323"/>
      <c r="N50" s="323" t="s">
        <v>1633</v>
      </c>
      <c r="O50" s="323"/>
      <c r="P50" s="323"/>
      <c r="Q50" s="323"/>
      <c r="R50" s="323"/>
      <c r="S50" s="325" t="s">
        <v>820</v>
      </c>
      <c r="T50" s="325" t="s">
        <v>820</v>
      </c>
      <c r="U50" s="325" t="s">
        <v>820</v>
      </c>
      <c r="V50" s="323"/>
      <c r="W50" s="323"/>
      <c r="X50" s="323" t="s">
        <v>863</v>
      </c>
      <c r="Y50" s="323"/>
      <c r="Z50" s="323"/>
      <c r="AA50" s="323" t="s">
        <v>864</v>
      </c>
      <c r="AB50" s="323" t="s">
        <v>864</v>
      </c>
      <c r="AC50" s="332" t="s">
        <v>1620</v>
      </c>
      <c r="AD50" s="323"/>
      <c r="AE50" s="323"/>
      <c r="AF50" s="323"/>
      <c r="AG50" s="323"/>
      <c r="AH50" s="323"/>
      <c r="AI50" s="325" t="s">
        <v>820</v>
      </c>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2">
        <v>43</v>
      </c>
      <c r="B51" s="342"/>
      <c r="C51" s="342"/>
      <c r="D51" s="342" t="s">
        <v>1820</v>
      </c>
      <c r="E51" s="346"/>
      <c r="F51" s="342"/>
      <c r="G51" s="342"/>
      <c r="H51" s="317" t="s">
        <v>1654</v>
      </c>
      <c r="I51" s="317" t="s">
        <v>1821</v>
      </c>
      <c r="J51" s="317" t="s">
        <v>1822</v>
      </c>
      <c r="K51" s="317"/>
      <c r="L51" s="317" t="s">
        <v>1823</v>
      </c>
      <c r="M51" s="317"/>
      <c r="N51" s="317" t="s">
        <v>1823</v>
      </c>
      <c r="O51" s="317"/>
      <c r="P51" s="317"/>
      <c r="Q51" s="317"/>
      <c r="R51" s="317"/>
      <c r="S51" s="327" t="s">
        <v>817</v>
      </c>
      <c r="T51" s="327" t="s">
        <v>817</v>
      </c>
      <c r="U51" s="327" t="s">
        <v>817</v>
      </c>
      <c r="V51" s="317"/>
      <c r="W51" s="317"/>
      <c r="X51" s="317" t="s">
        <v>879</v>
      </c>
      <c r="Y51" s="317"/>
      <c r="Z51" s="317" t="s">
        <v>932</v>
      </c>
      <c r="AA51" s="317" t="s">
        <v>864</v>
      </c>
      <c r="AB51" s="317" t="s">
        <v>864</v>
      </c>
      <c r="AC51" s="321" t="s">
        <v>1620</v>
      </c>
      <c r="AD51" s="317"/>
      <c r="AE51" s="317"/>
      <c r="AF51" s="317"/>
      <c r="AG51" s="317"/>
      <c r="AH51" s="317"/>
      <c r="AI51" s="327" t="s">
        <v>817</v>
      </c>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45">
        <v>44</v>
      </c>
      <c r="B52" s="345"/>
      <c r="C52" s="345"/>
      <c r="D52" s="345" t="s">
        <v>1824</v>
      </c>
      <c r="E52" s="345"/>
      <c r="F52" s="345"/>
      <c r="G52" s="345"/>
      <c r="H52" s="323" t="s">
        <v>1654</v>
      </c>
      <c r="I52" s="323" t="s">
        <v>1825</v>
      </c>
      <c r="J52" s="323">
        <v>0</v>
      </c>
      <c r="K52" s="323"/>
      <c r="L52" s="323" t="s">
        <v>1826</v>
      </c>
      <c r="M52" s="323"/>
      <c r="N52" s="323" t="s">
        <v>1826</v>
      </c>
      <c r="O52" s="323"/>
      <c r="P52" s="323"/>
      <c r="Q52" s="323"/>
      <c r="R52" s="323"/>
      <c r="S52" s="333" t="s">
        <v>817</v>
      </c>
      <c r="T52" s="333" t="s">
        <v>817</v>
      </c>
      <c r="U52" s="333" t="s">
        <v>817</v>
      </c>
      <c r="V52" s="323"/>
      <c r="W52" s="323"/>
      <c r="X52" s="323" t="s">
        <v>1368</v>
      </c>
      <c r="Y52" s="323"/>
      <c r="Z52" s="323"/>
      <c r="AA52" s="323" t="s">
        <v>864</v>
      </c>
      <c r="AB52" s="323" t="s">
        <v>864</v>
      </c>
      <c r="AC52" s="321" t="s">
        <v>1620</v>
      </c>
      <c r="AD52" s="323"/>
      <c r="AE52" s="323"/>
      <c r="AF52" s="323"/>
      <c r="AG52" s="323"/>
      <c r="AH52" s="323"/>
      <c r="AI52" s="333" t="s">
        <v>817</v>
      </c>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2">
        <v>45</v>
      </c>
      <c r="B53" s="342"/>
      <c r="C53" s="342"/>
      <c r="D53" s="342" t="s">
        <v>1827</v>
      </c>
      <c r="E53" s="342"/>
      <c r="F53" s="342"/>
      <c r="G53" s="342"/>
      <c r="H53" s="317" t="s">
        <v>1828</v>
      </c>
      <c r="I53" s="317" t="s">
        <v>1829</v>
      </c>
      <c r="J53" s="317">
        <v>0</v>
      </c>
      <c r="K53" s="317"/>
      <c r="L53" s="317" t="s">
        <v>1830</v>
      </c>
      <c r="M53" s="317"/>
      <c r="N53" s="317" t="s">
        <v>1830</v>
      </c>
      <c r="O53" s="317"/>
      <c r="P53" s="317"/>
      <c r="Q53" s="317"/>
      <c r="R53" s="317"/>
      <c r="S53" s="327" t="s">
        <v>817</v>
      </c>
      <c r="T53" s="329" t="s">
        <v>817</v>
      </c>
      <c r="U53" s="329" t="s">
        <v>817</v>
      </c>
      <c r="V53" s="317"/>
      <c r="W53" s="317"/>
      <c r="X53" s="317" t="s">
        <v>1368</v>
      </c>
      <c r="Y53" s="317"/>
      <c r="Z53" s="317"/>
      <c r="AA53" s="317" t="s">
        <v>864</v>
      </c>
      <c r="AB53" s="317" t="s">
        <v>864</v>
      </c>
      <c r="AC53" s="321" t="s">
        <v>1620</v>
      </c>
      <c r="AD53" s="317"/>
      <c r="AE53" s="317"/>
      <c r="AF53" s="317"/>
      <c r="AG53" s="317"/>
      <c r="AH53" s="317"/>
      <c r="AI53" s="327" t="s">
        <v>817</v>
      </c>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45">
        <v>46</v>
      </c>
      <c r="B54" s="345"/>
      <c r="C54" s="345"/>
      <c r="D54" s="345" t="s">
        <v>1831</v>
      </c>
      <c r="E54" s="345"/>
      <c r="F54" s="345"/>
      <c r="G54" s="345"/>
      <c r="H54" s="323" t="s">
        <v>1654</v>
      </c>
      <c r="I54" s="323" t="s">
        <v>1832</v>
      </c>
      <c r="J54" s="323">
        <v>1</v>
      </c>
      <c r="K54" s="323"/>
      <c r="L54" s="323" t="s">
        <v>1833</v>
      </c>
      <c r="M54" s="323"/>
      <c r="N54" s="323" t="s">
        <v>1833</v>
      </c>
      <c r="O54" s="323"/>
      <c r="P54" s="323"/>
      <c r="Q54" s="323"/>
      <c r="R54" s="323"/>
      <c r="S54" s="333" t="s">
        <v>817</v>
      </c>
      <c r="T54" s="333" t="s">
        <v>817</v>
      </c>
      <c r="U54" s="333" t="s">
        <v>817</v>
      </c>
      <c r="V54" s="323"/>
      <c r="W54" s="323"/>
      <c r="X54" s="323" t="s">
        <v>1368</v>
      </c>
      <c r="Y54" s="323"/>
      <c r="Z54" s="323"/>
      <c r="AA54" s="323" t="s">
        <v>864</v>
      </c>
      <c r="AB54" s="323" t="s">
        <v>864</v>
      </c>
      <c r="AC54" s="321" t="s">
        <v>1620</v>
      </c>
      <c r="AD54" s="323"/>
      <c r="AE54" s="323"/>
      <c r="AF54" s="323"/>
      <c r="AG54" s="323"/>
      <c r="AH54" s="323"/>
      <c r="AI54" s="333" t="s">
        <v>817</v>
      </c>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2">
        <v>47</v>
      </c>
      <c r="B55" s="342"/>
      <c r="C55" s="342"/>
      <c r="D55" s="342" t="s">
        <v>1834</v>
      </c>
      <c r="E55" s="342"/>
      <c r="F55" s="342"/>
      <c r="G55" s="342"/>
      <c r="H55" s="317" t="s">
        <v>1654</v>
      </c>
      <c r="I55" s="317" t="s">
        <v>1835</v>
      </c>
      <c r="J55" s="317">
        <v>0</v>
      </c>
      <c r="K55" s="317"/>
      <c r="L55" s="317" t="s">
        <v>1836</v>
      </c>
      <c r="M55" s="317"/>
      <c r="N55" s="317" t="s">
        <v>1836</v>
      </c>
      <c r="O55" s="317"/>
      <c r="P55" s="317"/>
      <c r="Q55" s="317"/>
      <c r="R55" s="317"/>
      <c r="S55" s="327" t="s">
        <v>817</v>
      </c>
      <c r="T55" s="327" t="s">
        <v>817</v>
      </c>
      <c r="U55" s="327" t="s">
        <v>817</v>
      </c>
      <c r="V55" s="317"/>
      <c r="W55" s="317"/>
      <c r="X55" s="317" t="s">
        <v>1368</v>
      </c>
      <c r="Y55" s="317"/>
      <c r="Z55" s="317"/>
      <c r="AA55" s="317" t="s">
        <v>864</v>
      </c>
      <c r="AB55" s="317" t="s">
        <v>864</v>
      </c>
      <c r="AC55" s="332" t="s">
        <v>1620</v>
      </c>
      <c r="AD55" s="317"/>
      <c r="AE55" s="317"/>
      <c r="AF55" s="317"/>
      <c r="AG55" s="317"/>
      <c r="AH55" s="317"/>
      <c r="AI55" s="327" t="s">
        <v>817</v>
      </c>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45">
        <v>48</v>
      </c>
      <c r="B56" s="345"/>
      <c r="C56" s="345"/>
      <c r="D56" s="345" t="s">
        <v>1837</v>
      </c>
      <c r="E56" s="345"/>
      <c r="F56" s="345"/>
      <c r="G56" s="345"/>
      <c r="H56" s="323" t="s">
        <v>1654</v>
      </c>
      <c r="I56" s="323" t="s">
        <v>1838</v>
      </c>
      <c r="J56" s="323">
        <v>0</v>
      </c>
      <c r="K56" s="323"/>
      <c r="L56" s="323" t="s">
        <v>1839</v>
      </c>
      <c r="M56" s="323"/>
      <c r="N56" s="323" t="s">
        <v>1839</v>
      </c>
      <c r="O56" s="323"/>
      <c r="P56" s="323"/>
      <c r="Q56" s="323"/>
      <c r="R56" s="323"/>
      <c r="S56" s="333" t="s">
        <v>817</v>
      </c>
      <c r="T56" s="333" t="s">
        <v>817</v>
      </c>
      <c r="U56" s="333" t="s">
        <v>817</v>
      </c>
      <c r="V56" s="323"/>
      <c r="W56" s="323"/>
      <c r="X56" s="323" t="s">
        <v>1368</v>
      </c>
      <c r="Y56" s="323"/>
      <c r="Z56" s="323"/>
      <c r="AA56" s="323" t="s">
        <v>864</v>
      </c>
      <c r="AB56" s="323" t="s">
        <v>864</v>
      </c>
      <c r="AC56" s="321" t="s">
        <v>1620</v>
      </c>
      <c r="AD56" s="323"/>
      <c r="AE56" s="323"/>
      <c r="AF56" s="323"/>
      <c r="AG56" s="323"/>
      <c r="AH56" s="323"/>
      <c r="AI56" s="333" t="s">
        <v>817</v>
      </c>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2">
        <v>49</v>
      </c>
      <c r="B57" s="342"/>
      <c r="C57" s="342"/>
      <c r="D57" s="342" t="s">
        <v>1840</v>
      </c>
      <c r="E57" s="342"/>
      <c r="F57" s="342"/>
      <c r="G57" s="342"/>
      <c r="H57" s="317" t="s">
        <v>1654</v>
      </c>
      <c r="I57" s="317" t="s">
        <v>1841</v>
      </c>
      <c r="J57" s="317">
        <v>0</v>
      </c>
      <c r="K57" s="317"/>
      <c r="L57" s="317" t="s">
        <v>1842</v>
      </c>
      <c r="M57" s="317"/>
      <c r="N57" s="317" t="s">
        <v>1842</v>
      </c>
      <c r="O57" s="317"/>
      <c r="P57" s="317"/>
      <c r="Q57" s="317"/>
      <c r="R57" s="317"/>
      <c r="S57" s="327" t="s">
        <v>817</v>
      </c>
      <c r="T57" s="327" t="s">
        <v>817</v>
      </c>
      <c r="U57" s="327" t="s">
        <v>817</v>
      </c>
      <c r="V57" s="317"/>
      <c r="W57" s="317"/>
      <c r="X57" s="317" t="s">
        <v>1368</v>
      </c>
      <c r="Y57" s="317"/>
      <c r="Z57" s="317"/>
      <c r="AA57" s="317" t="s">
        <v>864</v>
      </c>
      <c r="AB57" s="317" t="s">
        <v>864</v>
      </c>
      <c r="AC57" s="321" t="s">
        <v>1620</v>
      </c>
      <c r="AD57" s="317"/>
      <c r="AE57" s="317"/>
      <c r="AF57" s="317"/>
      <c r="AG57" s="317"/>
      <c r="AH57" s="317"/>
      <c r="AI57" s="327" t="s">
        <v>817</v>
      </c>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45">
        <v>50</v>
      </c>
      <c r="B58" s="345"/>
      <c r="C58" s="345" t="s">
        <v>1843</v>
      </c>
      <c r="D58" s="347"/>
      <c r="E58" s="347"/>
      <c r="F58" s="347"/>
      <c r="G58" s="347"/>
      <c r="H58" s="323" t="s">
        <v>1654</v>
      </c>
      <c r="I58" s="323" t="s">
        <v>1844</v>
      </c>
      <c r="J58" s="330"/>
      <c r="K58" s="323"/>
      <c r="L58" s="323" t="s">
        <v>1845</v>
      </c>
      <c r="M58" s="323"/>
      <c r="N58" s="323" t="s">
        <v>1845</v>
      </c>
      <c r="O58" s="323"/>
      <c r="P58" s="323"/>
      <c r="Q58" s="323"/>
      <c r="R58" s="323"/>
      <c r="S58" s="331" t="s">
        <v>823</v>
      </c>
      <c r="T58" s="348" t="s">
        <v>823</v>
      </c>
      <c r="U58" s="348" t="s">
        <v>823</v>
      </c>
      <c r="V58" s="323"/>
      <c r="W58" s="323" t="s">
        <v>864</v>
      </c>
      <c r="X58" s="323" t="s">
        <v>1846</v>
      </c>
      <c r="Y58" s="323"/>
      <c r="Z58" s="323"/>
      <c r="AA58" s="323" t="s">
        <v>864</v>
      </c>
      <c r="AB58" s="323" t="s">
        <v>864</v>
      </c>
      <c r="AC58" s="321" t="s">
        <v>1620</v>
      </c>
      <c r="AD58" s="323"/>
      <c r="AE58" s="323"/>
      <c r="AF58" s="323"/>
      <c r="AG58" s="323"/>
      <c r="AH58" s="323"/>
      <c r="AI58" s="331" t="s">
        <v>823</v>
      </c>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2">
        <v>51</v>
      </c>
      <c r="B59" s="342"/>
      <c r="C59" s="342"/>
      <c r="D59" s="342" t="s">
        <v>1847</v>
      </c>
      <c r="E59" s="342"/>
      <c r="F59" s="342"/>
      <c r="G59" s="342"/>
      <c r="H59" s="317" t="s">
        <v>1654</v>
      </c>
      <c r="I59" s="317" t="s">
        <v>1848</v>
      </c>
      <c r="J59" s="317" t="s">
        <v>1849</v>
      </c>
      <c r="K59" s="317"/>
      <c r="L59" s="317" t="s">
        <v>1823</v>
      </c>
      <c r="M59" s="317"/>
      <c r="N59" s="317" t="s">
        <v>1823</v>
      </c>
      <c r="O59" s="317"/>
      <c r="P59" s="317"/>
      <c r="Q59" s="317"/>
      <c r="R59" s="317"/>
      <c r="S59" s="327" t="s">
        <v>817</v>
      </c>
      <c r="T59" s="327" t="s">
        <v>817</v>
      </c>
      <c r="U59" s="327" t="s">
        <v>817</v>
      </c>
      <c r="V59" s="317"/>
      <c r="W59" s="317"/>
      <c r="X59" s="317" t="s">
        <v>879</v>
      </c>
      <c r="Y59" s="317"/>
      <c r="Z59" s="317" t="s">
        <v>932</v>
      </c>
      <c r="AA59" s="317" t="s">
        <v>864</v>
      </c>
      <c r="AB59" s="317" t="s">
        <v>864</v>
      </c>
      <c r="AC59" s="321" t="s">
        <v>1620</v>
      </c>
      <c r="AD59" s="317"/>
      <c r="AE59" s="317"/>
      <c r="AF59" s="317"/>
      <c r="AG59" s="317"/>
      <c r="AH59" s="317"/>
      <c r="AI59" s="327" t="s">
        <v>817</v>
      </c>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45">
        <v>52</v>
      </c>
      <c r="B60" s="345"/>
      <c r="C60" s="345"/>
      <c r="D60" s="345" t="s">
        <v>1850</v>
      </c>
      <c r="E60" s="345"/>
      <c r="F60" s="345"/>
      <c r="G60" s="345"/>
      <c r="H60" s="323" t="s">
        <v>1654</v>
      </c>
      <c r="I60" s="323" t="s">
        <v>1851</v>
      </c>
      <c r="J60" s="323">
        <v>0</v>
      </c>
      <c r="K60" s="323"/>
      <c r="L60" s="323" t="s">
        <v>1852</v>
      </c>
      <c r="M60" s="323"/>
      <c r="N60" s="323" t="s">
        <v>1852</v>
      </c>
      <c r="O60" s="323"/>
      <c r="P60" s="323"/>
      <c r="Q60" s="323"/>
      <c r="R60" s="323"/>
      <c r="S60" s="333" t="s">
        <v>817</v>
      </c>
      <c r="T60" s="333" t="s">
        <v>817</v>
      </c>
      <c r="U60" s="333" t="s">
        <v>817</v>
      </c>
      <c r="V60" s="323"/>
      <c r="W60" s="323"/>
      <c r="X60" s="323" t="s">
        <v>1368</v>
      </c>
      <c r="Y60" s="323"/>
      <c r="Z60" s="323"/>
      <c r="AA60" s="323" t="s">
        <v>864</v>
      </c>
      <c r="AB60" s="323" t="s">
        <v>864</v>
      </c>
      <c r="AC60" s="332" t="s">
        <v>1620</v>
      </c>
      <c r="AD60" s="323"/>
      <c r="AE60" s="323"/>
      <c r="AF60" s="323"/>
      <c r="AG60" s="323"/>
      <c r="AH60" s="323"/>
      <c r="AI60" s="333" t="s">
        <v>817</v>
      </c>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2">
        <v>53</v>
      </c>
      <c r="B61" s="342"/>
      <c r="C61" s="342"/>
      <c r="D61" s="342" t="s">
        <v>1853</v>
      </c>
      <c r="E61" s="342"/>
      <c r="F61" s="342"/>
      <c r="G61" s="342"/>
      <c r="H61" s="317" t="s">
        <v>1654</v>
      </c>
      <c r="I61" s="317" t="s">
        <v>1854</v>
      </c>
      <c r="J61" s="317">
        <v>1</v>
      </c>
      <c r="K61" s="317"/>
      <c r="L61" s="317" t="s">
        <v>1855</v>
      </c>
      <c r="M61" s="317"/>
      <c r="N61" s="317" t="s">
        <v>1855</v>
      </c>
      <c r="O61" s="317"/>
      <c r="P61" s="317"/>
      <c r="Q61" s="317"/>
      <c r="R61" s="317"/>
      <c r="S61" s="327" t="s">
        <v>817</v>
      </c>
      <c r="T61" s="327" t="s">
        <v>817</v>
      </c>
      <c r="U61" s="327" t="s">
        <v>817</v>
      </c>
      <c r="V61" s="317"/>
      <c r="W61" s="317"/>
      <c r="X61" s="317" t="s">
        <v>1368</v>
      </c>
      <c r="Y61" s="317"/>
      <c r="Z61" s="317"/>
      <c r="AA61" s="317" t="s">
        <v>864</v>
      </c>
      <c r="AB61" s="317" t="s">
        <v>864</v>
      </c>
      <c r="AC61" s="321" t="s">
        <v>1620</v>
      </c>
      <c r="AD61" s="317"/>
      <c r="AE61" s="317"/>
      <c r="AF61" s="317"/>
      <c r="AG61" s="317"/>
      <c r="AH61" s="317"/>
      <c r="AI61" s="327" t="s">
        <v>817</v>
      </c>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2">
        <v>54</v>
      </c>
      <c r="B62" s="322"/>
      <c r="C62" s="322" t="s">
        <v>1856</v>
      </c>
      <c r="D62" s="322"/>
      <c r="E62" s="322"/>
      <c r="F62" s="322"/>
      <c r="G62" s="322"/>
      <c r="H62" s="323" t="s">
        <v>1857</v>
      </c>
      <c r="I62" s="323" t="s">
        <v>1858</v>
      </c>
      <c r="J62" s="330"/>
      <c r="K62" s="323" t="s">
        <v>864</v>
      </c>
      <c r="L62" s="323" t="s">
        <v>1859</v>
      </c>
      <c r="M62" s="323"/>
      <c r="N62" s="323" t="s">
        <v>1859</v>
      </c>
      <c r="O62" s="323"/>
      <c r="P62" s="323"/>
      <c r="Q62" s="323"/>
      <c r="R62" s="323"/>
      <c r="S62" s="331" t="s">
        <v>823</v>
      </c>
      <c r="T62" s="331" t="s">
        <v>823</v>
      </c>
      <c r="U62" s="331" t="s">
        <v>823</v>
      </c>
      <c r="V62" s="323"/>
      <c r="W62" s="323" t="s">
        <v>864</v>
      </c>
      <c r="X62" s="323" t="s">
        <v>1860</v>
      </c>
      <c r="Y62" s="323"/>
      <c r="Z62" s="323"/>
      <c r="AA62" s="323" t="s">
        <v>864</v>
      </c>
      <c r="AB62" s="323" t="s">
        <v>864</v>
      </c>
      <c r="AC62" s="321" t="s">
        <v>1620</v>
      </c>
      <c r="AD62" s="323"/>
      <c r="AE62" s="323"/>
      <c r="AF62" s="323"/>
      <c r="AG62" s="323">
        <v>1</v>
      </c>
      <c r="AH62" s="323">
        <v>1</v>
      </c>
      <c r="AI62" s="331" t="s">
        <v>823</v>
      </c>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26">
        <v>55</v>
      </c>
      <c r="B63" s="326"/>
      <c r="C63" s="326"/>
      <c r="D63" s="326" t="s">
        <v>1861</v>
      </c>
      <c r="E63" s="340"/>
      <c r="F63" s="326"/>
      <c r="G63" s="326"/>
      <c r="H63" s="317" t="s">
        <v>1862</v>
      </c>
      <c r="I63" s="317" t="s">
        <v>1863</v>
      </c>
      <c r="J63" s="317" t="s">
        <v>1786</v>
      </c>
      <c r="K63" s="317" t="s">
        <v>864</v>
      </c>
      <c r="L63" s="317" t="s">
        <v>1823</v>
      </c>
      <c r="M63" s="317"/>
      <c r="N63" s="317" t="s">
        <v>1823</v>
      </c>
      <c r="O63" s="317"/>
      <c r="P63" s="317"/>
      <c r="Q63" s="317"/>
      <c r="R63" s="317"/>
      <c r="S63" s="327" t="s">
        <v>817</v>
      </c>
      <c r="T63" s="329" t="s">
        <v>817</v>
      </c>
      <c r="U63" s="329" t="s">
        <v>817</v>
      </c>
      <c r="V63" s="317"/>
      <c r="W63" s="317"/>
      <c r="X63" s="317" t="s">
        <v>879</v>
      </c>
      <c r="Y63" s="317"/>
      <c r="Z63" s="317" t="s">
        <v>932</v>
      </c>
      <c r="AA63" s="317" t="s">
        <v>864</v>
      </c>
      <c r="AB63" s="317" t="s">
        <v>864</v>
      </c>
      <c r="AC63" s="321" t="s">
        <v>1620</v>
      </c>
      <c r="AD63" s="317"/>
      <c r="AE63" s="317"/>
      <c r="AF63" s="317"/>
      <c r="AG63" s="317">
        <v>1</v>
      </c>
      <c r="AH63" s="317">
        <v>1</v>
      </c>
      <c r="AI63" s="327" t="s">
        <v>817</v>
      </c>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36">
        <v>56</v>
      </c>
      <c r="B64" s="336"/>
      <c r="C64" s="336"/>
      <c r="D64" s="336" t="s">
        <v>1749</v>
      </c>
      <c r="E64" s="336"/>
      <c r="F64" s="336"/>
      <c r="G64" s="336"/>
      <c r="H64" s="323" t="s">
        <v>1864</v>
      </c>
      <c r="I64" s="323" t="s">
        <v>1865</v>
      </c>
      <c r="J64" s="323" t="s">
        <v>1866</v>
      </c>
      <c r="K64" s="323" t="s">
        <v>864</v>
      </c>
      <c r="L64" s="323" t="s">
        <v>1710</v>
      </c>
      <c r="M64" s="323"/>
      <c r="N64" s="323" t="s">
        <v>1710</v>
      </c>
      <c r="O64" s="323"/>
      <c r="P64" s="323"/>
      <c r="Q64" s="323"/>
      <c r="R64" s="323"/>
      <c r="S64" s="327" t="s">
        <v>817</v>
      </c>
      <c r="T64" s="325" t="s">
        <v>820</v>
      </c>
      <c r="U64" s="325" t="s">
        <v>820</v>
      </c>
      <c r="V64" s="323"/>
      <c r="W64" s="323"/>
      <c r="X64" s="323" t="s">
        <v>863</v>
      </c>
      <c r="Y64" s="323"/>
      <c r="Z64" s="323" t="s">
        <v>1867</v>
      </c>
      <c r="AA64" s="323" t="s">
        <v>864</v>
      </c>
      <c r="AB64" s="323" t="s">
        <v>864</v>
      </c>
      <c r="AC64" s="321" t="s">
        <v>1620</v>
      </c>
      <c r="AD64" s="323"/>
      <c r="AE64" s="323"/>
      <c r="AF64" s="323"/>
      <c r="AG64" s="323">
        <v>1</v>
      </c>
      <c r="AH64" s="323"/>
      <c r="AI64" s="327" t="s">
        <v>817</v>
      </c>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16">
        <v>57</v>
      </c>
      <c r="B65" s="316"/>
      <c r="C65" s="316"/>
      <c r="D65" s="316" t="s">
        <v>1868</v>
      </c>
      <c r="E65" s="316"/>
      <c r="F65" s="316"/>
      <c r="G65" s="316"/>
      <c r="H65" s="317" t="s">
        <v>1862</v>
      </c>
      <c r="I65" s="317" t="s">
        <v>1869</v>
      </c>
      <c r="J65" s="317" t="s">
        <v>1870</v>
      </c>
      <c r="K65" s="317"/>
      <c r="L65" s="317" t="s">
        <v>1871</v>
      </c>
      <c r="M65" s="317"/>
      <c r="N65" s="317" t="s">
        <v>1871</v>
      </c>
      <c r="O65" s="317"/>
      <c r="P65" s="317"/>
      <c r="Q65" s="317"/>
      <c r="R65" s="317"/>
      <c r="S65" s="344" t="s">
        <v>823</v>
      </c>
      <c r="T65" s="344" t="s">
        <v>823</v>
      </c>
      <c r="U65" s="344" t="s">
        <v>823</v>
      </c>
      <c r="V65" s="317"/>
      <c r="W65" s="317"/>
      <c r="X65" s="317" t="s">
        <v>863</v>
      </c>
      <c r="Y65" s="317"/>
      <c r="Z65" s="317" t="s">
        <v>1872</v>
      </c>
      <c r="AA65" s="317" t="s">
        <v>864</v>
      </c>
      <c r="AB65" s="317" t="s">
        <v>864</v>
      </c>
      <c r="AC65" s="332" t="s">
        <v>1620</v>
      </c>
      <c r="AD65" s="317"/>
      <c r="AE65" s="317"/>
      <c r="AF65" s="317"/>
      <c r="AG65" s="317">
        <v>1</v>
      </c>
      <c r="AH65" s="317"/>
      <c r="AI65" s="344" t="s">
        <v>823</v>
      </c>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2">
        <v>58</v>
      </c>
      <c r="B66" s="322"/>
      <c r="C66" s="322"/>
      <c r="D66" s="322" t="s">
        <v>1873</v>
      </c>
      <c r="E66" s="339"/>
      <c r="F66" s="322"/>
      <c r="G66" s="322"/>
      <c r="H66" s="323" t="s">
        <v>1862</v>
      </c>
      <c r="I66" s="323" t="s">
        <v>1874</v>
      </c>
      <c r="J66" s="323" t="s">
        <v>1875</v>
      </c>
      <c r="K66" s="323"/>
      <c r="L66" s="323" t="s">
        <v>1681</v>
      </c>
      <c r="M66" s="323"/>
      <c r="N66" s="323" t="s">
        <v>1681</v>
      </c>
      <c r="O66" s="323"/>
      <c r="P66" s="323"/>
      <c r="Q66" s="323"/>
      <c r="R66" s="323"/>
      <c r="S66" s="333" t="s">
        <v>817</v>
      </c>
      <c r="T66" s="333" t="s">
        <v>817</v>
      </c>
      <c r="U66" s="333" t="s">
        <v>817</v>
      </c>
      <c r="V66" s="323"/>
      <c r="W66" s="323"/>
      <c r="X66" s="323" t="s">
        <v>863</v>
      </c>
      <c r="Y66" s="323"/>
      <c r="Z66" s="323"/>
      <c r="AA66" s="323" t="s">
        <v>864</v>
      </c>
      <c r="AB66" s="323" t="s">
        <v>864</v>
      </c>
      <c r="AC66" s="321" t="s">
        <v>1620</v>
      </c>
      <c r="AD66" s="323"/>
      <c r="AE66" s="323"/>
      <c r="AF66" s="323"/>
      <c r="AG66" s="323">
        <v>1</v>
      </c>
      <c r="AH66" s="323">
        <v>1</v>
      </c>
      <c r="AI66" s="333" t="s">
        <v>817</v>
      </c>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26">
        <v>59</v>
      </c>
      <c r="B67" s="326"/>
      <c r="C67" s="326"/>
      <c r="D67" s="322" t="s">
        <v>1876</v>
      </c>
      <c r="E67" s="339"/>
      <c r="F67" s="322"/>
      <c r="G67" s="322"/>
      <c r="H67" s="317" t="s">
        <v>1862</v>
      </c>
      <c r="I67" s="317" t="s">
        <v>1877</v>
      </c>
      <c r="J67" s="338"/>
      <c r="K67" s="317"/>
      <c r="L67" s="317" t="s">
        <v>1878</v>
      </c>
      <c r="M67" s="317"/>
      <c r="N67" s="317" t="s">
        <v>1878</v>
      </c>
      <c r="O67" s="317"/>
      <c r="P67" s="317"/>
      <c r="Q67" s="317"/>
      <c r="R67" s="317"/>
      <c r="S67" s="333" t="s">
        <v>817</v>
      </c>
      <c r="T67" s="320" t="s">
        <v>820</v>
      </c>
      <c r="U67" s="320" t="s">
        <v>820</v>
      </c>
      <c r="V67" s="317"/>
      <c r="W67" s="317" t="s">
        <v>864</v>
      </c>
      <c r="X67" s="317" t="s">
        <v>1879</v>
      </c>
      <c r="Y67" s="317"/>
      <c r="Z67" s="317"/>
      <c r="AA67" s="317" t="s">
        <v>864</v>
      </c>
      <c r="AB67" s="317" t="s">
        <v>864</v>
      </c>
      <c r="AC67" s="321" t="s">
        <v>1620</v>
      </c>
      <c r="AD67" s="317" t="s">
        <v>864</v>
      </c>
      <c r="AE67" s="317"/>
      <c r="AF67" s="317"/>
      <c r="AG67" s="317">
        <v>1</v>
      </c>
      <c r="AH67" s="317">
        <v>1</v>
      </c>
      <c r="AI67" s="333" t="s">
        <v>817</v>
      </c>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2">
        <v>60</v>
      </c>
      <c r="B68" s="322"/>
      <c r="C68" s="322"/>
      <c r="D68" s="322"/>
      <c r="E68" s="322" t="s">
        <v>1880</v>
      </c>
      <c r="F68" s="322"/>
      <c r="G68" s="322"/>
      <c r="H68" s="323" t="s">
        <v>1881</v>
      </c>
      <c r="I68" s="323" t="s">
        <v>1882</v>
      </c>
      <c r="J68" s="323" t="s">
        <v>1044</v>
      </c>
      <c r="K68" s="323" t="s">
        <v>864</v>
      </c>
      <c r="L68" s="323" t="s">
        <v>1883</v>
      </c>
      <c r="M68" s="323"/>
      <c r="N68" s="323" t="s">
        <v>1883</v>
      </c>
      <c r="O68" s="323"/>
      <c r="P68" s="323"/>
      <c r="Q68" s="323"/>
      <c r="R68" s="323"/>
      <c r="S68" s="333" t="s">
        <v>817</v>
      </c>
      <c r="T68" s="335" t="s">
        <v>820</v>
      </c>
      <c r="U68" s="335" t="s">
        <v>820</v>
      </c>
      <c r="V68" s="323"/>
      <c r="W68" s="323"/>
      <c r="X68" s="323" t="s">
        <v>863</v>
      </c>
      <c r="Y68" s="323"/>
      <c r="Z68" s="323"/>
      <c r="AA68" s="323" t="s">
        <v>864</v>
      </c>
      <c r="AB68" s="323" t="s">
        <v>864</v>
      </c>
      <c r="AC68" s="321" t="s">
        <v>1620</v>
      </c>
      <c r="AD68" s="323" t="s">
        <v>864</v>
      </c>
      <c r="AE68" s="323"/>
      <c r="AF68" s="323"/>
      <c r="AG68" s="323">
        <v>1</v>
      </c>
      <c r="AH68" s="323">
        <v>1</v>
      </c>
      <c r="AI68" s="333" t="s">
        <v>817</v>
      </c>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2">
        <v>61</v>
      </c>
      <c r="B69" s="342"/>
      <c r="C69" s="342"/>
      <c r="D69" s="342"/>
      <c r="E69" s="342" t="s">
        <v>1884</v>
      </c>
      <c r="F69" s="342"/>
      <c r="G69" s="342"/>
      <c r="H69" s="317" t="s">
        <v>1885</v>
      </c>
      <c r="I69" s="317" t="s">
        <v>1886</v>
      </c>
      <c r="J69" s="317" t="s">
        <v>1052</v>
      </c>
      <c r="K69" s="317"/>
      <c r="L69" s="317" t="s">
        <v>1698</v>
      </c>
      <c r="M69" s="317"/>
      <c r="N69" s="317" t="s">
        <v>1698</v>
      </c>
      <c r="O69" s="317"/>
      <c r="P69" s="317"/>
      <c r="Q69" s="317"/>
      <c r="R69" s="317"/>
      <c r="S69" s="327" t="s">
        <v>817</v>
      </c>
      <c r="T69" s="327" t="s">
        <v>817</v>
      </c>
      <c r="U69" s="327" t="s">
        <v>817</v>
      </c>
      <c r="V69" s="317"/>
      <c r="W69" s="317"/>
      <c r="X69" s="317" t="s">
        <v>863</v>
      </c>
      <c r="Y69" s="317"/>
      <c r="Z69" s="317"/>
      <c r="AA69" s="317" t="s">
        <v>864</v>
      </c>
      <c r="AB69" s="317" t="s">
        <v>864</v>
      </c>
      <c r="AC69" s="321" t="s">
        <v>1620</v>
      </c>
      <c r="AD69" s="317" t="s">
        <v>864</v>
      </c>
      <c r="AE69" s="317"/>
      <c r="AF69" s="317"/>
      <c r="AG69" s="317"/>
      <c r="AH69" s="317"/>
      <c r="AI69" s="327" t="s">
        <v>817</v>
      </c>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2">
        <v>62</v>
      </c>
      <c r="B70" s="322"/>
      <c r="C70" s="322"/>
      <c r="D70" s="322"/>
      <c r="E70" s="322" t="s">
        <v>1089</v>
      </c>
      <c r="F70" s="322"/>
      <c r="G70" s="322"/>
      <c r="H70" s="323" t="s">
        <v>1887</v>
      </c>
      <c r="I70" s="323" t="s">
        <v>1888</v>
      </c>
      <c r="J70" s="323" t="s">
        <v>1889</v>
      </c>
      <c r="K70" s="323" t="s">
        <v>864</v>
      </c>
      <c r="L70" s="323" t="s">
        <v>1710</v>
      </c>
      <c r="M70" s="323"/>
      <c r="N70" s="323" t="s">
        <v>1710</v>
      </c>
      <c r="O70" s="323"/>
      <c r="P70" s="323"/>
      <c r="Q70" s="323"/>
      <c r="R70" s="323"/>
      <c r="S70" s="333" t="s">
        <v>817</v>
      </c>
      <c r="T70" s="333" t="s">
        <v>817</v>
      </c>
      <c r="U70" s="333" t="s">
        <v>817</v>
      </c>
      <c r="V70" s="323"/>
      <c r="W70" s="323"/>
      <c r="X70" s="323" t="s">
        <v>863</v>
      </c>
      <c r="Y70" s="323"/>
      <c r="Z70" s="323"/>
      <c r="AA70" s="323" t="s">
        <v>864</v>
      </c>
      <c r="AB70" s="323" t="s">
        <v>864</v>
      </c>
      <c r="AC70" s="332" t="s">
        <v>1620</v>
      </c>
      <c r="AD70" s="323" t="s">
        <v>864</v>
      </c>
      <c r="AE70" s="323"/>
      <c r="AF70" s="323"/>
      <c r="AG70" s="323">
        <v>1</v>
      </c>
      <c r="AH70" s="323">
        <v>1</v>
      </c>
      <c r="AI70" s="333" t="s">
        <v>817</v>
      </c>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26">
        <v>63</v>
      </c>
      <c r="B71" s="326"/>
      <c r="C71" s="326"/>
      <c r="D71" s="326"/>
      <c r="E71" s="326" t="s">
        <v>1890</v>
      </c>
      <c r="F71" s="340"/>
      <c r="G71" s="326"/>
      <c r="H71" s="317" t="s">
        <v>1654</v>
      </c>
      <c r="I71" s="317" t="s">
        <v>1891</v>
      </c>
      <c r="J71" s="317" t="s">
        <v>1892</v>
      </c>
      <c r="K71" s="317"/>
      <c r="L71" s="317" t="s">
        <v>1893</v>
      </c>
      <c r="M71" s="317"/>
      <c r="N71" s="317" t="s">
        <v>1893</v>
      </c>
      <c r="O71" s="317"/>
      <c r="P71" s="317"/>
      <c r="Q71" s="317"/>
      <c r="R71" s="317"/>
      <c r="S71" s="327" t="s">
        <v>817</v>
      </c>
      <c r="T71" s="327" t="s">
        <v>817</v>
      </c>
      <c r="U71" s="327" t="s">
        <v>817</v>
      </c>
      <c r="V71" s="317"/>
      <c r="W71" s="317"/>
      <c r="X71" s="317" t="s">
        <v>863</v>
      </c>
      <c r="Y71" s="317"/>
      <c r="Z71" s="317"/>
      <c r="AA71" s="317" t="s">
        <v>864</v>
      </c>
      <c r="AB71" s="317" t="s">
        <v>864</v>
      </c>
      <c r="AC71" s="321" t="s">
        <v>1620</v>
      </c>
      <c r="AD71" s="317" t="s">
        <v>864</v>
      </c>
      <c r="AE71" s="317"/>
      <c r="AF71" s="317"/>
      <c r="AG71" s="317">
        <v>1</v>
      </c>
      <c r="AH71" s="317">
        <v>1</v>
      </c>
      <c r="AI71" s="327" t="s">
        <v>817</v>
      </c>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2">
        <v>64</v>
      </c>
      <c r="B72" s="322"/>
      <c r="C72" s="322"/>
      <c r="D72" s="322"/>
      <c r="E72" s="322" t="s">
        <v>1184</v>
      </c>
      <c r="F72" s="322"/>
      <c r="G72" s="322"/>
      <c r="H72" s="323" t="s">
        <v>1654</v>
      </c>
      <c r="I72" s="323" t="s">
        <v>1894</v>
      </c>
      <c r="J72" s="323" t="s">
        <v>1186</v>
      </c>
      <c r="K72" s="323"/>
      <c r="L72" s="323" t="s">
        <v>1895</v>
      </c>
      <c r="M72" s="323"/>
      <c r="N72" s="323" t="s">
        <v>1895</v>
      </c>
      <c r="O72" s="323"/>
      <c r="P72" s="323"/>
      <c r="Q72" s="323"/>
      <c r="R72" s="323"/>
      <c r="S72" s="333" t="s">
        <v>817</v>
      </c>
      <c r="T72" s="333" t="s">
        <v>817</v>
      </c>
      <c r="U72" s="333" t="s">
        <v>817</v>
      </c>
      <c r="V72" s="323"/>
      <c r="W72" s="323"/>
      <c r="X72" s="323" t="s">
        <v>863</v>
      </c>
      <c r="Y72" s="323"/>
      <c r="Z72" s="323"/>
      <c r="AA72" s="323" t="s">
        <v>864</v>
      </c>
      <c r="AB72" s="323" t="s">
        <v>864</v>
      </c>
      <c r="AC72" s="321" t="s">
        <v>1620</v>
      </c>
      <c r="AD72" s="323" t="s">
        <v>864</v>
      </c>
      <c r="AE72" s="323"/>
      <c r="AF72" s="323"/>
      <c r="AG72" s="323">
        <v>1</v>
      </c>
      <c r="AH72" s="323">
        <v>1</v>
      </c>
      <c r="AI72" s="333" t="s">
        <v>817</v>
      </c>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26">
        <v>65</v>
      </c>
      <c r="B73" s="326"/>
      <c r="C73" s="326"/>
      <c r="D73" s="326"/>
      <c r="E73" s="326" t="s">
        <v>1154</v>
      </c>
      <c r="F73" s="326"/>
      <c r="G73" s="326"/>
      <c r="H73" s="317" t="s">
        <v>771</v>
      </c>
      <c r="I73" s="317"/>
      <c r="J73" s="338"/>
      <c r="K73" s="317"/>
      <c r="L73" s="317" t="s">
        <v>1896</v>
      </c>
      <c r="M73" s="317"/>
      <c r="N73" s="317" t="s">
        <v>1896</v>
      </c>
      <c r="O73" s="317"/>
      <c r="P73" s="317"/>
      <c r="Q73" s="317"/>
      <c r="R73" s="317"/>
      <c r="S73" s="344" t="s">
        <v>823</v>
      </c>
      <c r="T73" s="349" t="s">
        <v>1897</v>
      </c>
      <c r="U73" s="349" t="s">
        <v>1897</v>
      </c>
      <c r="V73" s="317"/>
      <c r="W73" s="317" t="s">
        <v>864</v>
      </c>
      <c r="X73" s="317" t="s">
        <v>1156</v>
      </c>
      <c r="Y73" s="317"/>
      <c r="Z73" s="317"/>
      <c r="AA73" s="317" t="s">
        <v>864</v>
      </c>
      <c r="AB73" s="317" t="s">
        <v>864</v>
      </c>
      <c r="AC73" s="321" t="s">
        <v>1620</v>
      </c>
      <c r="AD73" s="317" t="s">
        <v>864</v>
      </c>
      <c r="AE73" s="317"/>
      <c r="AF73" s="317"/>
      <c r="AG73" s="317">
        <v>1</v>
      </c>
      <c r="AH73" s="317">
        <v>1</v>
      </c>
      <c r="AI73" s="344" t="s">
        <v>823</v>
      </c>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2">
        <v>66</v>
      </c>
      <c r="B74" s="322"/>
      <c r="C74" s="322"/>
      <c r="D74" s="322"/>
      <c r="E74" s="322"/>
      <c r="F74" s="322" t="s">
        <v>1898</v>
      </c>
      <c r="G74" s="322"/>
      <c r="H74" s="323" t="s">
        <v>1899</v>
      </c>
      <c r="I74" s="323" t="s">
        <v>1900</v>
      </c>
      <c r="J74" s="323" t="s">
        <v>1901</v>
      </c>
      <c r="K74" s="323" t="s">
        <v>864</v>
      </c>
      <c r="L74" s="323" t="s">
        <v>1902</v>
      </c>
      <c r="M74" s="323"/>
      <c r="N74" s="323" t="s">
        <v>1902</v>
      </c>
      <c r="O74" s="323"/>
      <c r="P74" s="323"/>
      <c r="Q74" s="323"/>
      <c r="R74" s="323"/>
      <c r="S74" s="325" t="s">
        <v>820</v>
      </c>
      <c r="T74" s="325" t="s">
        <v>820</v>
      </c>
      <c r="U74" s="325" t="s">
        <v>820</v>
      </c>
      <c r="V74" s="323"/>
      <c r="W74" s="323"/>
      <c r="X74" s="323" t="s">
        <v>1079</v>
      </c>
      <c r="Y74" s="323"/>
      <c r="Z74" s="323"/>
      <c r="AA74" s="323" t="s">
        <v>864</v>
      </c>
      <c r="AB74" s="323" t="s">
        <v>864</v>
      </c>
      <c r="AC74" s="321" t="s">
        <v>1620</v>
      </c>
      <c r="AD74" s="323" t="s">
        <v>864</v>
      </c>
      <c r="AE74" s="323"/>
      <c r="AF74" s="323"/>
      <c r="AG74" s="323">
        <v>1</v>
      </c>
      <c r="AH74" s="323">
        <v>1</v>
      </c>
      <c r="AI74" s="325" t="s">
        <v>820</v>
      </c>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26">
        <v>67</v>
      </c>
      <c r="B75" s="326"/>
      <c r="C75" s="326"/>
      <c r="D75" s="326"/>
      <c r="E75" s="326"/>
      <c r="F75" s="326" t="s">
        <v>1163</v>
      </c>
      <c r="G75" s="326"/>
      <c r="H75" s="317" t="s">
        <v>1903</v>
      </c>
      <c r="I75" s="317" t="s">
        <v>1904</v>
      </c>
      <c r="J75" s="318" t="s">
        <v>1905</v>
      </c>
      <c r="K75" s="317" t="s">
        <v>864</v>
      </c>
      <c r="L75" s="317" t="s">
        <v>1906</v>
      </c>
      <c r="M75" s="317"/>
      <c r="N75" s="317" t="s">
        <v>1906</v>
      </c>
      <c r="O75" s="317"/>
      <c r="P75" s="317"/>
      <c r="Q75" s="317"/>
      <c r="R75" s="317"/>
      <c r="S75" s="320" t="s">
        <v>820</v>
      </c>
      <c r="T75" s="320" t="s">
        <v>820</v>
      </c>
      <c r="U75" s="320" t="s">
        <v>820</v>
      </c>
      <c r="V75" s="317"/>
      <c r="W75" s="317"/>
      <c r="X75" s="317" t="s">
        <v>1079</v>
      </c>
      <c r="Y75" s="317"/>
      <c r="Z75" s="317"/>
      <c r="AA75" s="317" t="s">
        <v>864</v>
      </c>
      <c r="AB75" s="317" t="s">
        <v>864</v>
      </c>
      <c r="AC75" s="332" t="s">
        <v>1620</v>
      </c>
      <c r="AD75" s="317" t="s">
        <v>864</v>
      </c>
      <c r="AE75" s="317"/>
      <c r="AF75" s="317"/>
      <c r="AG75" s="317">
        <v>1</v>
      </c>
      <c r="AH75" s="317">
        <v>1</v>
      </c>
      <c r="AI75" s="320" t="s">
        <v>820</v>
      </c>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2">
        <v>68</v>
      </c>
      <c r="B76" s="322"/>
      <c r="C76" s="322"/>
      <c r="D76" s="322"/>
      <c r="E76" s="322"/>
      <c r="F76" s="322" t="s">
        <v>1907</v>
      </c>
      <c r="G76" s="322"/>
      <c r="H76" s="323" t="s">
        <v>1908</v>
      </c>
      <c r="I76" s="323" t="s">
        <v>1909</v>
      </c>
      <c r="J76" s="323">
        <v>1</v>
      </c>
      <c r="K76" s="323" t="s">
        <v>864</v>
      </c>
      <c r="L76" s="323" t="s">
        <v>1910</v>
      </c>
      <c r="M76" s="323"/>
      <c r="N76" s="323" t="s">
        <v>1910</v>
      </c>
      <c r="O76" s="323"/>
      <c r="P76" s="323"/>
      <c r="Q76" s="323"/>
      <c r="R76" s="323"/>
      <c r="S76" s="333" t="s">
        <v>817</v>
      </c>
      <c r="T76" s="333" t="s">
        <v>817</v>
      </c>
      <c r="U76" s="333" t="s">
        <v>817</v>
      </c>
      <c r="V76" s="323"/>
      <c r="W76" s="323"/>
      <c r="X76" s="323" t="s">
        <v>1079</v>
      </c>
      <c r="Y76" s="323"/>
      <c r="Z76" s="323"/>
      <c r="AA76" s="323" t="s">
        <v>864</v>
      </c>
      <c r="AB76" s="323" t="s">
        <v>864</v>
      </c>
      <c r="AC76" s="321" t="s">
        <v>1620</v>
      </c>
      <c r="AD76" s="323" t="s">
        <v>864</v>
      </c>
      <c r="AE76" s="323"/>
      <c r="AF76" s="323"/>
      <c r="AG76" s="323">
        <v>1</v>
      </c>
      <c r="AH76" s="323">
        <v>1</v>
      </c>
      <c r="AI76" s="333" t="s">
        <v>817</v>
      </c>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26">
        <v>69</v>
      </c>
      <c r="B77" s="326"/>
      <c r="C77" s="326"/>
      <c r="D77" s="326"/>
      <c r="E77" s="326" t="s">
        <v>1407</v>
      </c>
      <c r="F77" s="326"/>
      <c r="G77" s="326"/>
      <c r="H77" s="317" t="s">
        <v>1911</v>
      </c>
      <c r="I77" s="317" t="s">
        <v>1912</v>
      </c>
      <c r="J77" s="317" t="s">
        <v>1913</v>
      </c>
      <c r="K77" s="317" t="s">
        <v>864</v>
      </c>
      <c r="L77" s="317" t="s">
        <v>1181</v>
      </c>
      <c r="M77" s="317"/>
      <c r="N77" s="317" t="s">
        <v>1181</v>
      </c>
      <c r="O77" s="317"/>
      <c r="P77" s="317"/>
      <c r="Q77" s="317"/>
      <c r="R77" s="317"/>
      <c r="S77" s="344" t="s">
        <v>823</v>
      </c>
      <c r="T77" s="344" t="s">
        <v>823</v>
      </c>
      <c r="U77" s="344" t="s">
        <v>823</v>
      </c>
      <c r="V77" s="317"/>
      <c r="W77" s="317"/>
      <c r="X77" s="317" t="s">
        <v>863</v>
      </c>
      <c r="Y77" s="317"/>
      <c r="Z77" s="317"/>
      <c r="AA77" s="317" t="s">
        <v>864</v>
      </c>
      <c r="AB77" s="317" t="s">
        <v>864</v>
      </c>
      <c r="AC77" s="321" t="s">
        <v>1620</v>
      </c>
      <c r="AD77" s="317" t="s">
        <v>864</v>
      </c>
      <c r="AE77" s="317"/>
      <c r="AF77" s="317"/>
      <c r="AG77" s="317">
        <v>1</v>
      </c>
      <c r="AH77" s="317">
        <v>1</v>
      </c>
      <c r="AI77" s="344" t="s">
        <v>823</v>
      </c>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2">
        <v>70</v>
      </c>
      <c r="B78" s="322"/>
      <c r="C78" s="322" t="s">
        <v>1914</v>
      </c>
      <c r="D78" s="322"/>
      <c r="E78" s="322"/>
      <c r="F78" s="322"/>
      <c r="G78" s="322"/>
      <c r="H78" s="323" t="s">
        <v>1654</v>
      </c>
      <c r="I78" s="323" t="s">
        <v>1915</v>
      </c>
      <c r="J78" s="323" t="s">
        <v>1916</v>
      </c>
      <c r="K78" s="323"/>
      <c r="L78" s="323" t="s">
        <v>1917</v>
      </c>
      <c r="M78" s="323"/>
      <c r="N78" s="323" t="s">
        <v>1917</v>
      </c>
      <c r="O78" s="323"/>
      <c r="P78" s="323"/>
      <c r="Q78" s="323"/>
      <c r="R78" s="323"/>
      <c r="S78" s="333" t="s">
        <v>817</v>
      </c>
      <c r="T78" s="334" t="s">
        <v>817</v>
      </c>
      <c r="U78" s="334" t="s">
        <v>817</v>
      </c>
      <c r="V78" s="323"/>
      <c r="W78" s="323"/>
      <c r="X78" s="323" t="s">
        <v>863</v>
      </c>
      <c r="Y78" s="323"/>
      <c r="Z78" s="323" t="s">
        <v>1918</v>
      </c>
      <c r="AA78" s="323" t="s">
        <v>864</v>
      </c>
      <c r="AB78" s="323" t="s">
        <v>864</v>
      </c>
      <c r="AC78" s="321" t="s">
        <v>1620</v>
      </c>
      <c r="AD78" s="323"/>
      <c r="AE78" s="323"/>
      <c r="AF78" s="323"/>
      <c r="AG78" s="323">
        <v>1</v>
      </c>
      <c r="AH78" s="323">
        <v>1</v>
      </c>
      <c r="AI78" s="333" t="s">
        <v>817</v>
      </c>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26">
        <v>71</v>
      </c>
      <c r="B79" s="326"/>
      <c r="C79" s="326" t="s">
        <v>1677</v>
      </c>
      <c r="D79" s="326"/>
      <c r="E79" s="326"/>
      <c r="F79" s="326"/>
      <c r="G79" s="326"/>
      <c r="H79" s="317" t="s">
        <v>1654</v>
      </c>
      <c r="I79" s="317" t="s">
        <v>1919</v>
      </c>
      <c r="J79" s="317" t="s">
        <v>1920</v>
      </c>
      <c r="K79" s="317" t="s">
        <v>864</v>
      </c>
      <c r="L79" s="317" t="s">
        <v>1681</v>
      </c>
      <c r="M79" s="317"/>
      <c r="N79" s="317" t="s">
        <v>1681</v>
      </c>
      <c r="O79" s="317"/>
      <c r="P79" s="317"/>
      <c r="Q79" s="317"/>
      <c r="R79" s="317"/>
      <c r="S79" s="327" t="s">
        <v>817</v>
      </c>
      <c r="T79" s="327" t="s">
        <v>817</v>
      </c>
      <c r="U79" s="327" t="s">
        <v>817</v>
      </c>
      <c r="V79" s="317"/>
      <c r="W79" s="317"/>
      <c r="X79" s="317" t="s">
        <v>863</v>
      </c>
      <c r="Y79" s="317"/>
      <c r="Z79" s="317"/>
      <c r="AA79" s="317" t="s">
        <v>864</v>
      </c>
      <c r="AB79" s="317" t="s">
        <v>864</v>
      </c>
      <c r="AC79" s="321" t="s">
        <v>1620</v>
      </c>
      <c r="AD79" s="317"/>
      <c r="AE79" s="317"/>
      <c r="AF79" s="317"/>
      <c r="AG79" s="317">
        <v>1</v>
      </c>
      <c r="AH79" s="317">
        <v>1</v>
      </c>
      <c r="AI79" s="327" t="s">
        <v>817</v>
      </c>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2">
        <v>72</v>
      </c>
      <c r="B80" s="322" t="s">
        <v>1921</v>
      </c>
      <c r="C80" s="322"/>
      <c r="D80" s="322"/>
      <c r="E80" s="322"/>
      <c r="F80" s="322"/>
      <c r="G80" s="322"/>
      <c r="H80" s="323" t="s">
        <v>1922</v>
      </c>
      <c r="I80" s="323" t="s">
        <v>1923</v>
      </c>
      <c r="J80" s="330"/>
      <c r="K80" s="323"/>
      <c r="L80" s="323" t="s">
        <v>1924</v>
      </c>
      <c r="M80" s="323"/>
      <c r="N80" s="323" t="s">
        <v>1924</v>
      </c>
      <c r="O80" s="323"/>
      <c r="P80" s="323"/>
      <c r="Q80" s="323"/>
      <c r="R80" s="323"/>
      <c r="S80" s="331" t="s">
        <v>823</v>
      </c>
      <c r="T80" s="331" t="s">
        <v>823</v>
      </c>
      <c r="U80" s="331" t="s">
        <v>823</v>
      </c>
      <c r="V80" s="323"/>
      <c r="W80" s="323" t="s">
        <v>864</v>
      </c>
      <c r="X80" s="323" t="s">
        <v>1925</v>
      </c>
      <c r="Y80" s="323"/>
      <c r="Z80" s="323"/>
      <c r="AA80" s="323" t="s">
        <v>864</v>
      </c>
      <c r="AB80" s="323" t="s">
        <v>864</v>
      </c>
      <c r="AC80" s="332" t="s">
        <v>1620</v>
      </c>
      <c r="AD80" s="323"/>
      <c r="AE80" s="323"/>
      <c r="AF80" s="323"/>
      <c r="AG80" s="323">
        <v>1</v>
      </c>
      <c r="AH80" s="323">
        <v>1</v>
      </c>
      <c r="AI80" s="331" t="s">
        <v>823</v>
      </c>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26">
        <v>73</v>
      </c>
      <c r="B81" s="326"/>
      <c r="C81" s="326" t="s">
        <v>1089</v>
      </c>
      <c r="D81" s="326"/>
      <c r="E81" s="326"/>
      <c r="F81" s="326"/>
      <c r="G81" s="326"/>
      <c r="H81" s="317" t="s">
        <v>1926</v>
      </c>
      <c r="I81" s="317" t="s">
        <v>1927</v>
      </c>
      <c r="J81" s="317" t="s">
        <v>1928</v>
      </c>
      <c r="K81" s="317" t="s">
        <v>864</v>
      </c>
      <c r="L81" s="317" t="s">
        <v>1710</v>
      </c>
      <c r="M81" s="317"/>
      <c r="N81" s="317" t="s">
        <v>1710</v>
      </c>
      <c r="O81" s="317"/>
      <c r="P81" s="317"/>
      <c r="Q81" s="317"/>
      <c r="R81" s="317"/>
      <c r="S81" s="320" t="s">
        <v>820</v>
      </c>
      <c r="T81" s="320" t="s">
        <v>820</v>
      </c>
      <c r="U81" s="320" t="s">
        <v>820</v>
      </c>
      <c r="V81" s="317"/>
      <c r="W81" s="317"/>
      <c r="X81" s="317" t="s">
        <v>863</v>
      </c>
      <c r="Y81" s="317"/>
      <c r="Z81" s="317" t="s">
        <v>1929</v>
      </c>
      <c r="AA81" s="317" t="s">
        <v>864</v>
      </c>
      <c r="AB81" s="317" t="s">
        <v>864</v>
      </c>
      <c r="AC81" s="321" t="s">
        <v>1620</v>
      </c>
      <c r="AD81" s="317"/>
      <c r="AE81" s="317"/>
      <c r="AF81" s="317"/>
      <c r="AG81" s="317">
        <v>1</v>
      </c>
      <c r="AH81" s="317">
        <v>1</v>
      </c>
      <c r="AI81" s="320" t="s">
        <v>820</v>
      </c>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2">
        <v>74</v>
      </c>
      <c r="B82" s="322"/>
      <c r="C82" s="322" t="s">
        <v>1677</v>
      </c>
      <c r="D82" s="322"/>
      <c r="E82" s="322"/>
      <c r="F82" s="322"/>
      <c r="G82" s="322"/>
      <c r="H82" s="323" t="s">
        <v>1930</v>
      </c>
      <c r="I82" s="323" t="s">
        <v>1931</v>
      </c>
      <c r="J82" s="323" t="s">
        <v>1932</v>
      </c>
      <c r="K82" s="323" t="s">
        <v>864</v>
      </c>
      <c r="L82" s="323" t="s">
        <v>1681</v>
      </c>
      <c r="M82" s="323"/>
      <c r="N82" s="323" t="s">
        <v>1681</v>
      </c>
      <c r="O82" s="323"/>
      <c r="P82" s="323"/>
      <c r="Q82" s="323"/>
      <c r="R82" s="323"/>
      <c r="S82" s="333" t="s">
        <v>817</v>
      </c>
      <c r="T82" s="333" t="s">
        <v>817</v>
      </c>
      <c r="U82" s="333" t="s">
        <v>817</v>
      </c>
      <c r="V82" s="323"/>
      <c r="W82" s="323"/>
      <c r="X82" s="323" t="s">
        <v>863</v>
      </c>
      <c r="Y82" s="323"/>
      <c r="Z82" s="323"/>
      <c r="AA82" s="323" t="s">
        <v>864</v>
      </c>
      <c r="AB82" s="323" t="s">
        <v>864</v>
      </c>
      <c r="AC82" s="321" t="s">
        <v>1620</v>
      </c>
      <c r="AD82" s="323"/>
      <c r="AE82" s="323"/>
      <c r="AF82" s="323"/>
      <c r="AG82" s="323">
        <v>1</v>
      </c>
      <c r="AH82" s="323">
        <v>1</v>
      </c>
      <c r="AI82" s="333" t="s">
        <v>817</v>
      </c>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26">
        <v>75</v>
      </c>
      <c r="B83" s="326"/>
      <c r="C83" s="326" t="s">
        <v>1933</v>
      </c>
      <c r="D83" s="326"/>
      <c r="E83" s="326"/>
      <c r="F83" s="326"/>
      <c r="G83" s="326"/>
      <c r="H83" s="317" t="s">
        <v>1934</v>
      </c>
      <c r="I83" s="317" t="s">
        <v>1935</v>
      </c>
      <c r="J83" s="317" t="s">
        <v>1936</v>
      </c>
      <c r="K83" s="317" t="s">
        <v>864</v>
      </c>
      <c r="L83" s="317" t="s">
        <v>831</v>
      </c>
      <c r="M83" s="317"/>
      <c r="N83" s="317" t="s">
        <v>831</v>
      </c>
      <c r="O83" s="317"/>
      <c r="P83" s="317"/>
      <c r="Q83" s="317"/>
      <c r="R83" s="317"/>
      <c r="S83" s="333" t="s">
        <v>817</v>
      </c>
      <c r="T83" s="328" t="s">
        <v>820</v>
      </c>
      <c r="U83" s="329" t="s">
        <v>817</v>
      </c>
      <c r="V83" s="317" t="s">
        <v>864</v>
      </c>
      <c r="W83" s="317"/>
      <c r="X83" s="317" t="s">
        <v>863</v>
      </c>
      <c r="Y83" s="317"/>
      <c r="Z83" s="317"/>
      <c r="AA83" s="317" t="s">
        <v>864</v>
      </c>
      <c r="AB83" s="317" t="s">
        <v>864</v>
      </c>
      <c r="AC83" s="321" t="s">
        <v>1620</v>
      </c>
      <c r="AD83" s="317"/>
      <c r="AE83" s="317"/>
      <c r="AF83" s="317"/>
      <c r="AG83" s="317">
        <v>1</v>
      </c>
      <c r="AH83" s="317">
        <v>1</v>
      </c>
      <c r="AI83" s="320" t="s">
        <v>820</v>
      </c>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2">
        <v>76</v>
      </c>
      <c r="B84" s="322"/>
      <c r="C84" s="322" t="s">
        <v>1937</v>
      </c>
      <c r="D84" s="339"/>
      <c r="E84" s="322"/>
      <c r="F84" s="322"/>
      <c r="G84" s="322"/>
      <c r="H84" s="323" t="s">
        <v>1938</v>
      </c>
      <c r="I84" s="323" t="s">
        <v>1939</v>
      </c>
      <c r="J84" s="323" t="s">
        <v>1940</v>
      </c>
      <c r="K84" s="323" t="s">
        <v>864</v>
      </c>
      <c r="L84" s="323" t="s">
        <v>1689</v>
      </c>
      <c r="M84" s="323"/>
      <c r="N84" s="323" t="s">
        <v>1689</v>
      </c>
      <c r="O84" s="323"/>
      <c r="P84" s="323"/>
      <c r="Q84" s="323"/>
      <c r="R84" s="323"/>
      <c r="S84" s="333" t="s">
        <v>817</v>
      </c>
      <c r="T84" s="333" t="s">
        <v>817</v>
      </c>
      <c r="U84" s="333" t="s">
        <v>817</v>
      </c>
      <c r="V84" s="323"/>
      <c r="W84" s="323"/>
      <c r="X84" s="323" t="s">
        <v>863</v>
      </c>
      <c r="Y84" s="323"/>
      <c r="Z84" s="323"/>
      <c r="AA84" s="323" t="s">
        <v>864</v>
      </c>
      <c r="AB84" s="323" t="s">
        <v>864</v>
      </c>
      <c r="AC84" s="321" t="s">
        <v>1620</v>
      </c>
      <c r="AD84" s="323"/>
      <c r="AE84" s="323"/>
      <c r="AF84" s="323"/>
      <c r="AG84" s="323">
        <v>1</v>
      </c>
      <c r="AH84" s="323">
        <v>1</v>
      </c>
      <c r="AI84" s="333" t="s">
        <v>817</v>
      </c>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26">
        <v>77</v>
      </c>
      <c r="B85" s="326"/>
      <c r="C85" s="326" t="s">
        <v>1941</v>
      </c>
      <c r="D85" s="326"/>
      <c r="E85" s="326"/>
      <c r="F85" s="326"/>
      <c r="G85" s="326"/>
      <c r="H85" s="317" t="s">
        <v>1942</v>
      </c>
      <c r="I85" s="317" t="s">
        <v>1943</v>
      </c>
      <c r="J85" s="317" t="s">
        <v>1944</v>
      </c>
      <c r="K85" s="317" t="s">
        <v>864</v>
      </c>
      <c r="L85" s="317" t="s">
        <v>1698</v>
      </c>
      <c r="M85" s="317"/>
      <c r="N85" s="317" t="s">
        <v>1698</v>
      </c>
      <c r="O85" s="317"/>
      <c r="P85" s="317"/>
      <c r="Q85" s="317"/>
      <c r="R85" s="317"/>
      <c r="S85" s="327" t="s">
        <v>817</v>
      </c>
      <c r="T85" s="328" t="s">
        <v>820</v>
      </c>
      <c r="U85" s="329" t="s">
        <v>817</v>
      </c>
      <c r="V85" s="317" t="s">
        <v>864</v>
      </c>
      <c r="W85" s="317"/>
      <c r="X85" s="317" t="s">
        <v>863</v>
      </c>
      <c r="Y85" s="317"/>
      <c r="Z85" s="317"/>
      <c r="AA85" s="317" t="s">
        <v>864</v>
      </c>
      <c r="AB85" s="317" t="s">
        <v>864</v>
      </c>
      <c r="AC85" s="332" t="s">
        <v>1620</v>
      </c>
      <c r="AD85" s="317"/>
      <c r="AE85" s="317"/>
      <c r="AF85" s="317"/>
      <c r="AG85" s="317">
        <v>1</v>
      </c>
      <c r="AH85" s="317">
        <v>1</v>
      </c>
      <c r="AI85" s="320" t="s">
        <v>820</v>
      </c>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2">
        <v>78</v>
      </c>
      <c r="B86" s="322"/>
      <c r="C86" s="322" t="s">
        <v>1945</v>
      </c>
      <c r="D86" s="322"/>
      <c r="E86" s="322"/>
      <c r="F86" s="322"/>
      <c r="G86" s="322"/>
      <c r="H86" s="323" t="s">
        <v>1946</v>
      </c>
      <c r="I86" s="323" t="s">
        <v>1947</v>
      </c>
      <c r="J86" s="323" t="s">
        <v>1791</v>
      </c>
      <c r="K86" s="323" t="s">
        <v>864</v>
      </c>
      <c r="L86" s="323" t="s">
        <v>1792</v>
      </c>
      <c r="M86" s="323"/>
      <c r="N86" s="323" t="s">
        <v>1792</v>
      </c>
      <c r="O86" s="323"/>
      <c r="P86" s="323"/>
      <c r="Q86" s="323"/>
      <c r="R86" s="323"/>
      <c r="S86" s="333" t="s">
        <v>817</v>
      </c>
      <c r="T86" s="333" t="s">
        <v>817</v>
      </c>
      <c r="U86" s="333" t="s">
        <v>817</v>
      </c>
      <c r="V86" s="323"/>
      <c r="W86" s="323"/>
      <c r="X86" s="323" t="s">
        <v>863</v>
      </c>
      <c r="Y86" s="323"/>
      <c r="Z86" s="323" t="s">
        <v>1948</v>
      </c>
      <c r="AA86" s="323" t="s">
        <v>864</v>
      </c>
      <c r="AB86" s="323" t="s">
        <v>864</v>
      </c>
      <c r="AC86" s="321" t="s">
        <v>1620</v>
      </c>
      <c r="AD86" s="323"/>
      <c r="AE86" s="323"/>
      <c r="AF86" s="323"/>
      <c r="AG86" s="323">
        <v>1</v>
      </c>
      <c r="AH86" s="323">
        <v>1</v>
      </c>
      <c r="AI86" s="320" t="s">
        <v>820</v>
      </c>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26">
        <v>79</v>
      </c>
      <c r="B87" s="326"/>
      <c r="C87" s="326" t="s">
        <v>1949</v>
      </c>
      <c r="D87" s="326"/>
      <c r="E87" s="326"/>
      <c r="F87" s="326"/>
      <c r="G87" s="326"/>
      <c r="H87" s="318" t="s">
        <v>1950</v>
      </c>
      <c r="I87" s="317" t="s">
        <v>1951</v>
      </c>
      <c r="J87" s="317" t="s">
        <v>1952</v>
      </c>
      <c r="K87" s="317" t="s">
        <v>864</v>
      </c>
      <c r="L87" s="317" t="s">
        <v>1953</v>
      </c>
      <c r="M87" s="317"/>
      <c r="N87" s="317" t="s">
        <v>1953</v>
      </c>
      <c r="O87" s="317"/>
      <c r="P87" s="317"/>
      <c r="Q87" s="317"/>
      <c r="R87" s="317"/>
      <c r="S87" s="327" t="s">
        <v>817</v>
      </c>
      <c r="T87" s="328" t="s">
        <v>820</v>
      </c>
      <c r="U87" s="329" t="s">
        <v>817</v>
      </c>
      <c r="V87" s="317" t="s">
        <v>864</v>
      </c>
      <c r="W87" s="317"/>
      <c r="X87" s="317" t="s">
        <v>879</v>
      </c>
      <c r="Y87" s="317"/>
      <c r="Z87" s="317"/>
      <c r="AA87" s="317" t="s">
        <v>864</v>
      </c>
      <c r="AB87" s="317" t="s">
        <v>864</v>
      </c>
      <c r="AC87" s="321" t="s">
        <v>1620</v>
      </c>
      <c r="AD87" s="317"/>
      <c r="AE87" s="317"/>
      <c r="AF87" s="317"/>
      <c r="AG87" s="317">
        <v>1</v>
      </c>
      <c r="AH87" s="317">
        <v>1</v>
      </c>
      <c r="AI87" s="327" t="s">
        <v>817</v>
      </c>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2">
        <v>80</v>
      </c>
      <c r="B88" s="322"/>
      <c r="C88" s="322" t="s">
        <v>1954</v>
      </c>
      <c r="D88" s="322"/>
      <c r="E88" s="322"/>
      <c r="F88" s="322"/>
      <c r="G88" s="322"/>
      <c r="H88" s="323" t="s">
        <v>1955</v>
      </c>
      <c r="I88" s="323" t="s">
        <v>1956</v>
      </c>
      <c r="J88" s="323" t="s">
        <v>1957</v>
      </c>
      <c r="K88" s="323" t="s">
        <v>864</v>
      </c>
      <c r="L88" s="323" t="s">
        <v>1958</v>
      </c>
      <c r="M88" s="323"/>
      <c r="N88" s="323" t="s">
        <v>1958</v>
      </c>
      <c r="O88" s="323"/>
      <c r="P88" s="323"/>
      <c r="Q88" s="323"/>
      <c r="R88" s="323"/>
      <c r="S88" s="333" t="s">
        <v>817</v>
      </c>
      <c r="T88" s="334" t="s">
        <v>817</v>
      </c>
      <c r="U88" s="334" t="s">
        <v>817</v>
      </c>
      <c r="V88" s="323"/>
      <c r="W88" s="323"/>
      <c r="X88" s="323" t="s">
        <v>879</v>
      </c>
      <c r="Y88" s="323"/>
      <c r="Z88" s="323"/>
      <c r="AA88" s="323" t="s">
        <v>864</v>
      </c>
      <c r="AB88" s="323" t="s">
        <v>864</v>
      </c>
      <c r="AC88" s="321" t="s">
        <v>1620</v>
      </c>
      <c r="AD88" s="323"/>
      <c r="AE88" s="323"/>
      <c r="AF88" s="323"/>
      <c r="AG88" s="323">
        <v>1</v>
      </c>
      <c r="AH88" s="323">
        <v>1</v>
      </c>
      <c r="AI88" s="327" t="s">
        <v>817</v>
      </c>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26">
        <v>81</v>
      </c>
      <c r="B89" s="326"/>
      <c r="C89" s="326" t="s">
        <v>1959</v>
      </c>
      <c r="D89" s="326"/>
      <c r="E89" s="326"/>
      <c r="F89" s="326"/>
      <c r="G89" s="326"/>
      <c r="H89" s="317" t="s">
        <v>1960</v>
      </c>
      <c r="I89" s="317" t="s">
        <v>1961</v>
      </c>
      <c r="J89" s="317" t="s">
        <v>1962</v>
      </c>
      <c r="K89" s="317" t="s">
        <v>864</v>
      </c>
      <c r="L89" s="317" t="s">
        <v>1963</v>
      </c>
      <c r="M89" s="317"/>
      <c r="N89" s="317" t="s">
        <v>1963</v>
      </c>
      <c r="O89" s="317"/>
      <c r="P89" s="317"/>
      <c r="Q89" s="317"/>
      <c r="R89" s="317"/>
      <c r="S89" s="331" t="s">
        <v>823</v>
      </c>
      <c r="T89" s="331" t="s">
        <v>823</v>
      </c>
      <c r="U89" s="331" t="s">
        <v>823</v>
      </c>
      <c r="V89" s="317"/>
      <c r="W89" s="317"/>
      <c r="X89" s="317" t="s">
        <v>863</v>
      </c>
      <c r="Y89" s="317"/>
      <c r="Z89" s="317"/>
      <c r="AA89" s="317" t="s">
        <v>864</v>
      </c>
      <c r="AB89" s="317" t="s">
        <v>864</v>
      </c>
      <c r="AC89" s="321" t="s">
        <v>1620</v>
      </c>
      <c r="AD89" s="317"/>
      <c r="AE89" s="317"/>
      <c r="AF89" s="317"/>
      <c r="AG89" s="317">
        <v>1</v>
      </c>
      <c r="AH89" s="317">
        <v>1</v>
      </c>
      <c r="AI89" s="331" t="s">
        <v>823</v>
      </c>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36">
        <v>82</v>
      </c>
      <c r="B90" s="336"/>
      <c r="C90" s="336" t="s">
        <v>1964</v>
      </c>
      <c r="D90" s="336"/>
      <c r="E90" s="336"/>
      <c r="F90" s="336"/>
      <c r="G90" s="336"/>
      <c r="H90" s="323" t="s">
        <v>1965</v>
      </c>
      <c r="I90" s="323" t="s">
        <v>1966</v>
      </c>
      <c r="J90" s="323"/>
      <c r="K90" s="323" t="s">
        <v>864</v>
      </c>
      <c r="L90" s="323" t="s">
        <v>1967</v>
      </c>
      <c r="M90" s="323"/>
      <c r="N90" s="323" t="s">
        <v>1967</v>
      </c>
      <c r="O90" s="323"/>
      <c r="P90" s="323"/>
      <c r="Q90" s="323"/>
      <c r="R90" s="323"/>
      <c r="S90" s="331" t="s">
        <v>823</v>
      </c>
      <c r="T90" s="331" t="s">
        <v>823</v>
      </c>
      <c r="U90" s="331" t="s">
        <v>823</v>
      </c>
      <c r="V90" s="323"/>
      <c r="W90" s="323"/>
      <c r="X90" s="323" t="s">
        <v>863</v>
      </c>
      <c r="Y90" s="323"/>
      <c r="Z90" s="323"/>
      <c r="AA90" s="323" t="s">
        <v>864</v>
      </c>
      <c r="AB90" s="323" t="s">
        <v>864</v>
      </c>
      <c r="AC90" s="332" t="s">
        <v>1620</v>
      </c>
      <c r="AD90" s="323"/>
      <c r="AE90" s="323"/>
      <c r="AF90" s="323"/>
      <c r="AG90" s="323">
        <v>1</v>
      </c>
      <c r="AH90" s="323"/>
      <c r="AI90" s="331" t="s">
        <v>823</v>
      </c>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16">
        <v>83</v>
      </c>
      <c r="B91" s="316"/>
      <c r="C91" s="316" t="s">
        <v>1968</v>
      </c>
      <c r="D91" s="316"/>
      <c r="E91" s="316"/>
      <c r="F91" s="316"/>
      <c r="G91" s="316"/>
      <c r="H91" s="317" t="s">
        <v>1969</v>
      </c>
      <c r="I91" s="317" t="s">
        <v>1970</v>
      </c>
      <c r="J91" s="317"/>
      <c r="K91" s="317" t="s">
        <v>864</v>
      </c>
      <c r="L91" s="317" t="s">
        <v>1971</v>
      </c>
      <c r="M91" s="317"/>
      <c r="N91" s="317" t="s">
        <v>1971</v>
      </c>
      <c r="O91" s="317"/>
      <c r="P91" s="317"/>
      <c r="Q91" s="317"/>
      <c r="R91" s="317"/>
      <c r="S91" s="344" t="s">
        <v>823</v>
      </c>
      <c r="T91" s="344" t="s">
        <v>823</v>
      </c>
      <c r="U91" s="344" t="s">
        <v>823</v>
      </c>
      <c r="V91" s="317"/>
      <c r="W91" s="317"/>
      <c r="X91" s="317" t="s">
        <v>863</v>
      </c>
      <c r="Y91" s="317"/>
      <c r="Z91" s="317"/>
      <c r="AA91" s="317" t="s">
        <v>864</v>
      </c>
      <c r="AB91" s="317" t="s">
        <v>864</v>
      </c>
      <c r="AC91" s="321" t="s">
        <v>1620</v>
      </c>
      <c r="AD91" s="317"/>
      <c r="AE91" s="317"/>
      <c r="AF91" s="317"/>
      <c r="AG91" s="317">
        <v>1</v>
      </c>
      <c r="AH91" s="317"/>
      <c r="AI91" s="331" t="s">
        <v>823</v>
      </c>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36">
        <v>84</v>
      </c>
      <c r="B92" s="336"/>
      <c r="C92" s="336" t="s">
        <v>1972</v>
      </c>
      <c r="D92" s="336"/>
      <c r="E92" s="336"/>
      <c r="F92" s="336"/>
      <c r="G92" s="336"/>
      <c r="H92" s="324" t="s">
        <v>1973</v>
      </c>
      <c r="I92" s="323" t="s">
        <v>1974</v>
      </c>
      <c r="J92" s="323" t="s">
        <v>1975</v>
      </c>
      <c r="K92" s="323" t="s">
        <v>864</v>
      </c>
      <c r="L92" s="323" t="s">
        <v>1976</v>
      </c>
      <c r="M92" s="323"/>
      <c r="N92" s="323" t="s">
        <v>1976</v>
      </c>
      <c r="O92" s="323"/>
      <c r="P92" s="323"/>
      <c r="Q92" s="323"/>
      <c r="R92" s="323"/>
      <c r="S92" s="333" t="s">
        <v>817</v>
      </c>
      <c r="T92" s="333" t="s">
        <v>817</v>
      </c>
      <c r="U92" s="333" t="s">
        <v>817</v>
      </c>
      <c r="V92" s="323"/>
      <c r="W92" s="323"/>
      <c r="X92" s="323" t="s">
        <v>863</v>
      </c>
      <c r="Y92" s="323"/>
      <c r="Z92" s="323"/>
      <c r="AA92" s="323" t="s">
        <v>864</v>
      </c>
      <c r="AB92" s="323" t="s">
        <v>864</v>
      </c>
      <c r="AC92" s="321" t="s">
        <v>1620</v>
      </c>
      <c r="AD92" s="323"/>
      <c r="AE92" s="323"/>
      <c r="AF92" s="323"/>
      <c r="AG92" s="323">
        <v>1</v>
      </c>
      <c r="AH92" s="323"/>
      <c r="AI92" s="333" t="s">
        <v>817</v>
      </c>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26">
        <v>85</v>
      </c>
      <c r="B93" s="326"/>
      <c r="C93" s="326" t="s">
        <v>1977</v>
      </c>
      <c r="D93" s="326" t="s">
        <v>1978</v>
      </c>
      <c r="E93" s="326"/>
      <c r="F93" s="326"/>
      <c r="G93" s="326"/>
      <c r="H93" s="317" t="s">
        <v>1979</v>
      </c>
      <c r="I93" s="317" t="s">
        <v>1877</v>
      </c>
      <c r="J93" s="338"/>
      <c r="K93" s="317" t="s">
        <v>864</v>
      </c>
      <c r="L93" s="317" t="s">
        <v>1878</v>
      </c>
      <c r="M93" s="317"/>
      <c r="N93" s="317" t="s">
        <v>1878</v>
      </c>
      <c r="O93" s="317"/>
      <c r="P93" s="317"/>
      <c r="Q93" s="317"/>
      <c r="R93" s="317"/>
      <c r="S93" s="327" t="s">
        <v>817</v>
      </c>
      <c r="T93" s="329" t="s">
        <v>817</v>
      </c>
      <c r="U93" s="329" t="s">
        <v>817</v>
      </c>
      <c r="V93" s="317"/>
      <c r="W93" s="317" t="s">
        <v>864</v>
      </c>
      <c r="X93" s="317" t="s">
        <v>1879</v>
      </c>
      <c r="Y93" s="317"/>
      <c r="Z93" s="317"/>
      <c r="AA93" s="317" t="s">
        <v>864</v>
      </c>
      <c r="AB93" s="317" t="s">
        <v>864</v>
      </c>
      <c r="AC93" s="321" t="s">
        <v>1620</v>
      </c>
      <c r="AD93" s="317"/>
      <c r="AE93" s="317" t="s">
        <v>1980</v>
      </c>
      <c r="AF93" s="317"/>
      <c r="AG93" s="317">
        <v>1</v>
      </c>
      <c r="AH93" s="317">
        <v>1</v>
      </c>
      <c r="AI93" s="333" t="s">
        <v>817</v>
      </c>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2">
        <v>86</v>
      </c>
      <c r="B94" s="322"/>
      <c r="C94" s="322" t="s">
        <v>1981</v>
      </c>
      <c r="D94" s="322"/>
      <c r="E94" s="322"/>
      <c r="F94" s="322"/>
      <c r="G94" s="322"/>
      <c r="H94" s="323" t="s">
        <v>1982</v>
      </c>
      <c r="I94" s="323" t="s">
        <v>1983</v>
      </c>
      <c r="J94" s="323">
        <v>5</v>
      </c>
      <c r="K94" s="323" t="s">
        <v>864</v>
      </c>
      <c r="L94" s="323" t="s">
        <v>1984</v>
      </c>
      <c r="M94" s="323"/>
      <c r="N94" s="323" t="s">
        <v>1984</v>
      </c>
      <c r="O94" s="323"/>
      <c r="P94" s="323"/>
      <c r="Q94" s="323"/>
      <c r="R94" s="323"/>
      <c r="S94" s="333" t="s">
        <v>817</v>
      </c>
      <c r="T94" s="333" t="s">
        <v>817</v>
      </c>
      <c r="U94" s="333" t="s">
        <v>817</v>
      </c>
      <c r="V94" s="323"/>
      <c r="W94" s="323"/>
      <c r="X94" s="323" t="s">
        <v>863</v>
      </c>
      <c r="Y94" s="323"/>
      <c r="Z94" s="323" t="s">
        <v>1985</v>
      </c>
      <c r="AA94" s="323" t="s">
        <v>864</v>
      </c>
      <c r="AB94" s="323" t="s">
        <v>864</v>
      </c>
      <c r="AC94" s="321" t="s">
        <v>1620</v>
      </c>
      <c r="AD94" s="323"/>
      <c r="AE94" s="323"/>
      <c r="AF94" s="323"/>
      <c r="AG94" s="323">
        <v>1</v>
      </c>
      <c r="AH94" s="323">
        <v>1</v>
      </c>
      <c r="AI94" s="333" t="s">
        <v>817</v>
      </c>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2">
        <v>87</v>
      </c>
      <c r="B95" s="342" t="s">
        <v>1986</v>
      </c>
      <c r="C95" s="343"/>
      <c r="D95" s="343"/>
      <c r="E95" s="343"/>
      <c r="F95" s="343"/>
      <c r="G95" s="343"/>
      <c r="H95" s="317" t="s">
        <v>1987</v>
      </c>
      <c r="I95" s="317" t="s">
        <v>1988</v>
      </c>
      <c r="J95" s="338"/>
      <c r="K95" s="317"/>
      <c r="L95" s="317" t="s">
        <v>1989</v>
      </c>
      <c r="M95" s="317"/>
      <c r="N95" s="317" t="s">
        <v>1989</v>
      </c>
      <c r="O95" s="317"/>
      <c r="P95" s="317"/>
      <c r="Q95" s="317"/>
      <c r="R95" s="317"/>
      <c r="S95" s="344" t="s">
        <v>823</v>
      </c>
      <c r="T95" s="317"/>
      <c r="U95" s="350" t="s">
        <v>823</v>
      </c>
      <c r="V95" s="317"/>
      <c r="W95" s="317" t="s">
        <v>864</v>
      </c>
      <c r="X95" s="317" t="s">
        <v>1353</v>
      </c>
      <c r="Y95" s="317"/>
      <c r="Z95" s="317"/>
      <c r="AA95" s="317" t="s">
        <v>864</v>
      </c>
      <c r="AB95" s="317" t="s">
        <v>864</v>
      </c>
      <c r="AC95" s="332" t="s">
        <v>1620</v>
      </c>
      <c r="AD95" s="317"/>
      <c r="AE95" s="317"/>
      <c r="AF95" s="317"/>
      <c r="AG95" s="317"/>
      <c r="AH95" s="317"/>
      <c r="AI95" s="344" t="s">
        <v>823</v>
      </c>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1">
        <v>88</v>
      </c>
      <c r="B96" s="351"/>
      <c r="C96" s="351" t="s">
        <v>1990</v>
      </c>
      <c r="D96" s="351"/>
      <c r="E96" s="351"/>
      <c r="F96" s="351"/>
      <c r="G96" s="351"/>
      <c r="H96" s="323" t="s">
        <v>1991</v>
      </c>
      <c r="I96" s="323" t="s">
        <v>1992</v>
      </c>
      <c r="J96" s="330"/>
      <c r="K96" s="323" t="s">
        <v>864</v>
      </c>
      <c r="L96" s="323" t="s">
        <v>1993</v>
      </c>
      <c r="M96" s="323"/>
      <c r="N96" s="323" t="s">
        <v>1993</v>
      </c>
      <c r="O96" s="323"/>
      <c r="P96" s="323"/>
      <c r="Q96" s="323"/>
      <c r="R96" s="323"/>
      <c r="S96" s="325" t="s">
        <v>820</v>
      </c>
      <c r="T96" s="323"/>
      <c r="U96" s="352" t="s">
        <v>820</v>
      </c>
      <c r="V96" s="323"/>
      <c r="W96" s="323" t="s">
        <v>864</v>
      </c>
      <c r="X96" s="323" t="s">
        <v>1994</v>
      </c>
      <c r="Y96" s="323"/>
      <c r="Z96" s="323"/>
      <c r="AA96" s="323" t="s">
        <v>864</v>
      </c>
      <c r="AB96" s="323" t="s">
        <v>864</v>
      </c>
      <c r="AC96" s="321" t="s">
        <v>1620</v>
      </c>
      <c r="AD96" s="323"/>
      <c r="AE96" s="323"/>
      <c r="AF96" s="323"/>
      <c r="AG96" s="323"/>
      <c r="AH96" s="323">
        <v>1</v>
      </c>
      <c r="AI96" s="325" t="s">
        <v>820</v>
      </c>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3">
        <v>89</v>
      </c>
      <c r="B97" s="353"/>
      <c r="C97" s="353"/>
      <c r="D97" s="353" t="s">
        <v>1995</v>
      </c>
      <c r="E97" s="354"/>
      <c r="F97" s="353"/>
      <c r="G97" s="353"/>
      <c r="H97" s="317" t="s">
        <v>1996</v>
      </c>
      <c r="I97" s="317" t="s">
        <v>1997</v>
      </c>
      <c r="J97" s="317" t="s">
        <v>1998</v>
      </c>
      <c r="K97" s="317"/>
      <c r="L97" s="317" t="s">
        <v>1999</v>
      </c>
      <c r="M97" s="317"/>
      <c r="N97" s="317" t="s">
        <v>1999</v>
      </c>
      <c r="O97" s="317"/>
      <c r="P97" s="317"/>
      <c r="Q97" s="317"/>
      <c r="R97" s="317"/>
      <c r="S97" s="317" t="s">
        <v>893</v>
      </c>
      <c r="T97" s="317"/>
      <c r="U97" s="355" t="s">
        <v>893</v>
      </c>
      <c r="V97" s="317"/>
      <c r="W97" s="317"/>
      <c r="X97" s="317" t="s">
        <v>863</v>
      </c>
      <c r="Y97" s="317"/>
      <c r="Z97" s="317" t="s">
        <v>2000</v>
      </c>
      <c r="AA97" s="317" t="s">
        <v>864</v>
      </c>
      <c r="AB97" s="317" t="s">
        <v>864</v>
      </c>
      <c r="AC97" s="321" t="s">
        <v>1620</v>
      </c>
      <c r="AD97" s="317"/>
      <c r="AE97" s="317"/>
      <c r="AF97" s="317"/>
      <c r="AG97" s="317"/>
      <c r="AH97" s="317">
        <v>1</v>
      </c>
      <c r="AI97" s="317" t="s">
        <v>893</v>
      </c>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45">
        <v>90</v>
      </c>
      <c r="B98" s="345"/>
      <c r="C98" s="345"/>
      <c r="D98" s="345" t="s">
        <v>2001</v>
      </c>
      <c r="E98" s="345"/>
      <c r="F98" s="345"/>
      <c r="G98" s="345"/>
      <c r="H98" s="323" t="s">
        <v>2002</v>
      </c>
      <c r="I98" s="323" t="s">
        <v>2003</v>
      </c>
      <c r="J98" s="323"/>
      <c r="K98" s="323"/>
      <c r="L98" s="323" t="s">
        <v>2004</v>
      </c>
      <c r="M98" s="323"/>
      <c r="N98" s="323" t="s">
        <v>2004</v>
      </c>
      <c r="O98" s="323"/>
      <c r="P98" s="323"/>
      <c r="Q98" s="323"/>
      <c r="R98" s="323"/>
      <c r="S98" s="331" t="s">
        <v>823</v>
      </c>
      <c r="T98" s="341"/>
      <c r="U98" s="356" t="s">
        <v>823</v>
      </c>
      <c r="V98" s="323"/>
      <c r="W98" s="323"/>
      <c r="X98" s="323" t="s">
        <v>863</v>
      </c>
      <c r="Y98" s="323"/>
      <c r="Z98" s="323" t="s">
        <v>2005</v>
      </c>
      <c r="AA98" s="323" t="s">
        <v>864</v>
      </c>
      <c r="AB98" s="323" t="s">
        <v>864</v>
      </c>
      <c r="AC98" s="321" t="s">
        <v>1620</v>
      </c>
      <c r="AD98" s="323"/>
      <c r="AE98" s="323"/>
      <c r="AF98" s="323"/>
      <c r="AG98" s="323"/>
      <c r="AH98" s="323"/>
      <c r="AI98" s="331" t="s">
        <v>823</v>
      </c>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2">
        <v>91</v>
      </c>
      <c r="B99" s="342"/>
      <c r="C99" s="342"/>
      <c r="D99" s="342" t="s">
        <v>2006</v>
      </c>
      <c r="E99" s="342"/>
      <c r="F99" s="342"/>
      <c r="G99" s="342"/>
      <c r="H99" s="317" t="s">
        <v>2007</v>
      </c>
      <c r="I99" s="317" t="s">
        <v>2008</v>
      </c>
      <c r="J99" s="317"/>
      <c r="K99" s="317"/>
      <c r="L99" s="317" t="s">
        <v>2009</v>
      </c>
      <c r="M99" s="317"/>
      <c r="N99" s="317" t="s">
        <v>2009</v>
      </c>
      <c r="O99" s="317"/>
      <c r="P99" s="317"/>
      <c r="Q99" s="317"/>
      <c r="R99" s="317"/>
      <c r="S99" s="344" t="s">
        <v>823</v>
      </c>
      <c r="T99" s="317"/>
      <c r="U99" s="350" t="s">
        <v>823</v>
      </c>
      <c r="V99" s="317"/>
      <c r="W99" s="317"/>
      <c r="X99" s="317" t="s">
        <v>863</v>
      </c>
      <c r="Y99" s="317"/>
      <c r="Z99" s="317"/>
      <c r="AA99" s="317" t="s">
        <v>864</v>
      </c>
      <c r="AB99" s="317" t="s">
        <v>864</v>
      </c>
      <c r="AC99" s="321" t="s">
        <v>1620</v>
      </c>
      <c r="AD99" s="317"/>
      <c r="AE99" s="317"/>
      <c r="AF99" s="317"/>
      <c r="AG99" s="317"/>
      <c r="AH99" s="317"/>
      <c r="AI99" s="344" t="s">
        <v>823</v>
      </c>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1">
        <v>92</v>
      </c>
      <c r="B100" s="351"/>
      <c r="C100" s="351" t="s">
        <v>2010</v>
      </c>
      <c r="D100" s="351"/>
      <c r="E100" s="351"/>
      <c r="F100" s="351"/>
      <c r="G100" s="351"/>
      <c r="H100" s="323" t="s">
        <v>2011</v>
      </c>
      <c r="I100" s="323" t="s">
        <v>2012</v>
      </c>
      <c r="J100" s="323" t="s">
        <v>1962</v>
      </c>
      <c r="K100" s="323" t="s">
        <v>864</v>
      </c>
      <c r="L100" s="323" t="s">
        <v>831</v>
      </c>
      <c r="M100" s="323"/>
      <c r="N100" s="323" t="s">
        <v>831</v>
      </c>
      <c r="O100" s="323"/>
      <c r="P100" s="323"/>
      <c r="Q100" s="323"/>
      <c r="R100" s="323"/>
      <c r="S100" s="333" t="s">
        <v>817</v>
      </c>
      <c r="T100" s="323"/>
      <c r="U100" s="357" t="s">
        <v>817</v>
      </c>
      <c r="V100" s="323"/>
      <c r="W100" s="323"/>
      <c r="X100" s="323" t="s">
        <v>863</v>
      </c>
      <c r="Y100" s="323"/>
      <c r="Z100" s="323" t="s">
        <v>2013</v>
      </c>
      <c r="AA100" s="323" t="s">
        <v>864</v>
      </c>
      <c r="AB100" s="323" t="s">
        <v>864</v>
      </c>
      <c r="AC100" s="332" t="s">
        <v>1620</v>
      </c>
      <c r="AD100" s="323"/>
      <c r="AE100" s="323"/>
      <c r="AF100" s="323"/>
      <c r="AG100" s="323"/>
      <c r="AH100" s="323">
        <v>1</v>
      </c>
      <c r="AI100" s="325" t="s">
        <v>820</v>
      </c>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3">
        <v>93</v>
      </c>
      <c r="B101" s="353"/>
      <c r="C101" s="353" t="s">
        <v>1937</v>
      </c>
      <c r="D101" s="354"/>
      <c r="E101" s="353"/>
      <c r="F101" s="353"/>
      <c r="G101" s="353"/>
      <c r="H101" s="317" t="s">
        <v>2014</v>
      </c>
      <c r="I101" s="317" t="s">
        <v>2015</v>
      </c>
      <c r="J101" s="317" t="s">
        <v>1940</v>
      </c>
      <c r="K101" s="317" t="s">
        <v>864</v>
      </c>
      <c r="L101" s="317" t="s">
        <v>1689</v>
      </c>
      <c r="M101" s="317"/>
      <c r="N101" s="317" t="s">
        <v>1689</v>
      </c>
      <c r="O101" s="317"/>
      <c r="P101" s="317"/>
      <c r="Q101" s="317"/>
      <c r="R101" s="317"/>
      <c r="S101" s="327" t="s">
        <v>817</v>
      </c>
      <c r="T101" s="317"/>
      <c r="U101" s="358" t="s">
        <v>817</v>
      </c>
      <c r="V101" s="317"/>
      <c r="W101" s="317"/>
      <c r="X101" s="317" t="s">
        <v>863</v>
      </c>
      <c r="Y101" s="317"/>
      <c r="Z101" s="317"/>
      <c r="AA101" s="317" t="s">
        <v>864</v>
      </c>
      <c r="AB101" s="317" t="s">
        <v>864</v>
      </c>
      <c r="AC101" s="321" t="s">
        <v>1620</v>
      </c>
      <c r="AD101" s="317"/>
      <c r="AE101" s="317"/>
      <c r="AF101" s="317"/>
      <c r="AG101" s="317"/>
      <c r="AH101" s="317">
        <v>1</v>
      </c>
      <c r="AI101" s="327" t="s">
        <v>817</v>
      </c>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1">
        <v>94</v>
      </c>
      <c r="B102" s="351"/>
      <c r="C102" s="351" t="s">
        <v>2016</v>
      </c>
      <c r="D102" s="351"/>
      <c r="E102" s="351"/>
      <c r="F102" s="351"/>
      <c r="G102" s="351"/>
      <c r="H102" s="323" t="s">
        <v>2017</v>
      </c>
      <c r="I102" s="323" t="s">
        <v>2018</v>
      </c>
      <c r="J102" s="323" t="s">
        <v>2019</v>
      </c>
      <c r="K102" s="323" t="s">
        <v>864</v>
      </c>
      <c r="L102" s="323" t="s">
        <v>1698</v>
      </c>
      <c r="M102" s="323"/>
      <c r="N102" s="323" t="s">
        <v>1698</v>
      </c>
      <c r="O102" s="323"/>
      <c r="P102" s="323"/>
      <c r="Q102" s="323"/>
      <c r="R102" s="323"/>
      <c r="S102" s="333" t="s">
        <v>817</v>
      </c>
      <c r="T102" s="323"/>
      <c r="U102" s="357" t="s">
        <v>817</v>
      </c>
      <c r="V102" s="323"/>
      <c r="W102" s="323"/>
      <c r="X102" s="323" t="s">
        <v>863</v>
      </c>
      <c r="Y102" s="323"/>
      <c r="Z102" s="323"/>
      <c r="AA102" s="323" t="s">
        <v>864</v>
      </c>
      <c r="AB102" s="323" t="s">
        <v>864</v>
      </c>
      <c r="AC102" s="321" t="s">
        <v>1620</v>
      </c>
      <c r="AD102" s="323"/>
      <c r="AE102" s="323"/>
      <c r="AF102" s="323"/>
      <c r="AG102" s="323"/>
      <c r="AH102" s="323">
        <v>1</v>
      </c>
      <c r="AI102" s="325" t="s">
        <v>820</v>
      </c>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3">
        <v>95</v>
      </c>
      <c r="B103" s="353"/>
      <c r="C103" s="353" t="s">
        <v>2020</v>
      </c>
      <c r="D103" s="353"/>
      <c r="E103" s="353"/>
      <c r="F103" s="353"/>
      <c r="G103" s="353"/>
      <c r="H103" s="317" t="s">
        <v>2021</v>
      </c>
      <c r="I103" s="317"/>
      <c r="J103" s="317"/>
      <c r="K103" s="317" t="s">
        <v>864</v>
      </c>
      <c r="L103" s="317" t="s">
        <v>1681</v>
      </c>
      <c r="M103" s="317"/>
      <c r="N103" s="317" t="s">
        <v>1681</v>
      </c>
      <c r="O103" s="317"/>
      <c r="P103" s="317"/>
      <c r="Q103" s="317"/>
      <c r="R103" s="317"/>
      <c r="S103" s="327" t="s">
        <v>817</v>
      </c>
      <c r="T103" s="349"/>
      <c r="U103" s="358" t="s">
        <v>817</v>
      </c>
      <c r="V103" s="317"/>
      <c r="W103" s="317"/>
      <c r="X103" s="317" t="s">
        <v>863</v>
      </c>
      <c r="Y103" s="317"/>
      <c r="Z103" s="317"/>
      <c r="AA103" s="317" t="s">
        <v>864</v>
      </c>
      <c r="AB103" s="317" t="s">
        <v>864</v>
      </c>
      <c r="AC103" s="321" t="s">
        <v>1620</v>
      </c>
      <c r="AD103" s="317"/>
      <c r="AE103" s="317"/>
      <c r="AF103" s="317"/>
      <c r="AG103" s="317"/>
      <c r="AH103" s="317">
        <v>1</v>
      </c>
      <c r="AI103" s="327" t="s">
        <v>817</v>
      </c>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1">
        <v>96</v>
      </c>
      <c r="B104" s="351"/>
      <c r="C104" s="351" t="s">
        <v>2022</v>
      </c>
      <c r="D104" s="351"/>
      <c r="E104" s="351"/>
      <c r="F104" s="351"/>
      <c r="G104" s="351"/>
      <c r="H104" s="323" t="s">
        <v>2023</v>
      </c>
      <c r="I104" s="323" t="s">
        <v>2024</v>
      </c>
      <c r="J104" s="330"/>
      <c r="K104" s="323" t="s">
        <v>864</v>
      </c>
      <c r="L104" s="323" t="s">
        <v>2025</v>
      </c>
      <c r="M104" s="323"/>
      <c r="N104" s="323" t="s">
        <v>2025</v>
      </c>
      <c r="O104" s="323"/>
      <c r="P104" s="323"/>
      <c r="Q104" s="323"/>
      <c r="R104" s="323"/>
      <c r="S104" s="331" t="s">
        <v>823</v>
      </c>
      <c r="T104" s="323"/>
      <c r="U104" s="356" t="s">
        <v>823</v>
      </c>
      <c r="V104" s="323"/>
      <c r="W104" s="323" t="s">
        <v>864</v>
      </c>
      <c r="X104" s="323" t="s">
        <v>2026</v>
      </c>
      <c r="Y104" s="323"/>
      <c r="Z104" s="323"/>
      <c r="AA104" s="323" t="s">
        <v>864</v>
      </c>
      <c r="AB104" s="323" t="s">
        <v>864</v>
      </c>
      <c r="AC104" s="321" t="s">
        <v>1620</v>
      </c>
      <c r="AD104" s="323"/>
      <c r="AE104" s="323"/>
      <c r="AF104" s="323"/>
      <c r="AG104" s="323"/>
      <c r="AH104" s="323">
        <v>1</v>
      </c>
      <c r="AI104" s="331" t="s">
        <v>823</v>
      </c>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3">
        <v>97</v>
      </c>
      <c r="B105" s="353"/>
      <c r="C105" s="353"/>
      <c r="D105" s="353" t="s">
        <v>2027</v>
      </c>
      <c r="E105" s="354"/>
      <c r="F105" s="353"/>
      <c r="G105" s="353"/>
      <c r="H105" s="317" t="s">
        <v>2028</v>
      </c>
      <c r="I105" s="317" t="s">
        <v>2029</v>
      </c>
      <c r="J105" s="317" t="s">
        <v>2030</v>
      </c>
      <c r="K105" s="317" t="s">
        <v>864</v>
      </c>
      <c r="L105" s="317" t="s">
        <v>1823</v>
      </c>
      <c r="M105" s="317"/>
      <c r="N105" s="317" t="s">
        <v>1823</v>
      </c>
      <c r="O105" s="317"/>
      <c r="P105" s="317"/>
      <c r="Q105" s="317"/>
      <c r="R105" s="317"/>
      <c r="S105" s="327" t="s">
        <v>817</v>
      </c>
      <c r="T105" s="317"/>
      <c r="U105" s="358" t="s">
        <v>817</v>
      </c>
      <c r="V105" s="317"/>
      <c r="W105" s="317"/>
      <c r="X105" s="317" t="s">
        <v>879</v>
      </c>
      <c r="Y105" s="317"/>
      <c r="Z105" s="317"/>
      <c r="AA105" s="317" t="s">
        <v>864</v>
      </c>
      <c r="AB105" s="317" t="s">
        <v>864</v>
      </c>
      <c r="AC105" s="332" t="s">
        <v>1620</v>
      </c>
      <c r="AD105" s="317"/>
      <c r="AE105" s="317"/>
      <c r="AF105" s="317"/>
      <c r="AG105" s="317"/>
      <c r="AH105" s="317">
        <v>1</v>
      </c>
      <c r="AI105" s="327" t="s">
        <v>817</v>
      </c>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1">
        <v>98</v>
      </c>
      <c r="B106" s="351"/>
      <c r="C106" s="351"/>
      <c r="D106" s="351" t="s">
        <v>1749</v>
      </c>
      <c r="E106" s="351"/>
      <c r="F106" s="351"/>
      <c r="G106" s="351"/>
      <c r="H106" s="323" t="s">
        <v>2031</v>
      </c>
      <c r="I106" s="323" t="s">
        <v>2032</v>
      </c>
      <c r="J106" s="323" t="s">
        <v>2033</v>
      </c>
      <c r="K106" s="323" t="s">
        <v>864</v>
      </c>
      <c r="L106" s="323" t="s">
        <v>1710</v>
      </c>
      <c r="M106" s="323"/>
      <c r="N106" s="323" t="s">
        <v>1710</v>
      </c>
      <c r="O106" s="323"/>
      <c r="P106" s="323"/>
      <c r="Q106" s="323"/>
      <c r="R106" s="323"/>
      <c r="S106" s="325" t="s">
        <v>820</v>
      </c>
      <c r="T106" s="323"/>
      <c r="U106" s="352" t="s">
        <v>820</v>
      </c>
      <c r="V106" s="323"/>
      <c r="W106" s="323"/>
      <c r="X106" s="323" t="s">
        <v>863</v>
      </c>
      <c r="Y106" s="323"/>
      <c r="Z106" s="323" t="s">
        <v>2034</v>
      </c>
      <c r="AA106" s="323" t="s">
        <v>864</v>
      </c>
      <c r="AB106" s="323" t="s">
        <v>864</v>
      </c>
      <c r="AC106" s="321" t="s">
        <v>1620</v>
      </c>
      <c r="AD106" s="323"/>
      <c r="AE106" s="323"/>
      <c r="AF106" s="323"/>
      <c r="AG106" s="323"/>
      <c r="AH106" s="323">
        <v>1</v>
      </c>
      <c r="AI106" s="325" t="s">
        <v>820</v>
      </c>
      <c r="AJ106" s="534" t="s">
        <v>2035</v>
      </c>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3">
        <v>99</v>
      </c>
      <c r="B107" s="353"/>
      <c r="C107" s="353"/>
      <c r="D107" s="353" t="s">
        <v>1703</v>
      </c>
      <c r="E107" s="353"/>
      <c r="F107" s="353"/>
      <c r="G107" s="353"/>
      <c r="H107" s="317" t="s">
        <v>2036</v>
      </c>
      <c r="I107" s="317"/>
      <c r="J107" s="317" t="s">
        <v>2037</v>
      </c>
      <c r="K107" s="317" t="s">
        <v>864</v>
      </c>
      <c r="L107" s="317" t="s">
        <v>1681</v>
      </c>
      <c r="M107" s="317"/>
      <c r="N107" s="317" t="s">
        <v>1681</v>
      </c>
      <c r="O107" s="317"/>
      <c r="P107" s="317"/>
      <c r="Q107" s="317"/>
      <c r="R107" s="317"/>
      <c r="S107" s="327" t="s">
        <v>817</v>
      </c>
      <c r="T107" s="317"/>
      <c r="U107" s="358" t="s">
        <v>817</v>
      </c>
      <c r="V107" s="317"/>
      <c r="W107" s="317"/>
      <c r="X107" s="317" t="s">
        <v>863</v>
      </c>
      <c r="Y107" s="317"/>
      <c r="Z107" s="317"/>
      <c r="AA107" s="317" t="s">
        <v>864</v>
      </c>
      <c r="AB107" s="317" t="s">
        <v>864</v>
      </c>
      <c r="AC107" s="321" t="s">
        <v>1620</v>
      </c>
      <c r="AD107" s="317"/>
      <c r="AE107" s="317"/>
      <c r="AF107" s="317"/>
      <c r="AG107" s="317"/>
      <c r="AH107" s="317">
        <v>1</v>
      </c>
      <c r="AI107" s="327" t="s">
        <v>817</v>
      </c>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1">
        <v>100</v>
      </c>
      <c r="B108" s="351"/>
      <c r="C108" s="351"/>
      <c r="D108" s="351" t="s">
        <v>2038</v>
      </c>
      <c r="E108" s="351"/>
      <c r="F108" s="351"/>
      <c r="G108" s="351"/>
      <c r="H108" s="323" t="s">
        <v>2039</v>
      </c>
      <c r="I108" s="323" t="s">
        <v>2040</v>
      </c>
      <c r="J108" s="323"/>
      <c r="K108" s="323"/>
      <c r="L108" s="323" t="s">
        <v>831</v>
      </c>
      <c r="M108" s="323"/>
      <c r="N108" s="323" t="s">
        <v>831</v>
      </c>
      <c r="O108" s="323"/>
      <c r="P108" s="323"/>
      <c r="Q108" s="323"/>
      <c r="R108" s="323"/>
      <c r="S108" s="333" t="s">
        <v>817</v>
      </c>
      <c r="T108" s="341"/>
      <c r="U108" s="357" t="s">
        <v>817</v>
      </c>
      <c r="V108" s="323"/>
      <c r="W108" s="323"/>
      <c r="X108" s="323" t="s">
        <v>863</v>
      </c>
      <c r="Y108" s="323"/>
      <c r="Z108" s="323"/>
      <c r="AA108" s="323" t="s">
        <v>864</v>
      </c>
      <c r="AB108" s="323" t="s">
        <v>864</v>
      </c>
      <c r="AC108" s="321" t="s">
        <v>1620</v>
      </c>
      <c r="AD108" s="323"/>
      <c r="AE108" s="323"/>
      <c r="AF108" s="323"/>
      <c r="AG108" s="323"/>
      <c r="AH108" s="323">
        <v>1</v>
      </c>
      <c r="AI108" s="333" t="s">
        <v>817</v>
      </c>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3">
        <v>101</v>
      </c>
      <c r="B109" s="353"/>
      <c r="C109" s="353"/>
      <c r="D109" s="353" t="s">
        <v>2041</v>
      </c>
      <c r="E109" s="354" t="s">
        <v>1978</v>
      </c>
      <c r="F109" s="353"/>
      <c r="G109" s="353"/>
      <c r="H109" s="317" t="s">
        <v>2042</v>
      </c>
      <c r="I109" s="317" t="s">
        <v>2043</v>
      </c>
      <c r="J109" s="338"/>
      <c r="K109" s="317" t="s">
        <v>864</v>
      </c>
      <c r="L109" s="317" t="s">
        <v>1878</v>
      </c>
      <c r="M109" s="317"/>
      <c r="N109" s="317" t="s">
        <v>1878</v>
      </c>
      <c r="O109" s="317"/>
      <c r="P109" s="317"/>
      <c r="Q109" s="317"/>
      <c r="R109" s="317"/>
      <c r="S109" s="344" t="s">
        <v>823</v>
      </c>
      <c r="T109" s="317"/>
      <c r="U109" s="350" t="s">
        <v>823</v>
      </c>
      <c r="V109" s="317"/>
      <c r="W109" s="317" t="s">
        <v>864</v>
      </c>
      <c r="X109" s="317" t="s">
        <v>1879</v>
      </c>
      <c r="Y109" s="317"/>
      <c r="Z109" s="317"/>
      <c r="AA109" s="317" t="s">
        <v>864</v>
      </c>
      <c r="AB109" s="317" t="s">
        <v>864</v>
      </c>
      <c r="AC109" s="321" t="s">
        <v>1620</v>
      </c>
      <c r="AD109" s="317"/>
      <c r="AE109" s="317"/>
      <c r="AF109" s="317"/>
      <c r="AG109" s="317"/>
      <c r="AH109" s="317">
        <v>1</v>
      </c>
      <c r="AI109" s="344" t="s">
        <v>823</v>
      </c>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45">
        <v>102</v>
      </c>
      <c r="B110" s="345"/>
      <c r="C110" s="345" t="s">
        <v>2044</v>
      </c>
      <c r="D110" s="345"/>
      <c r="E110" s="345"/>
      <c r="F110" s="345"/>
      <c r="G110" s="345"/>
      <c r="H110" s="323" t="s">
        <v>2045</v>
      </c>
      <c r="I110" s="323" t="s">
        <v>2046</v>
      </c>
      <c r="J110" s="323">
        <v>1</v>
      </c>
      <c r="K110" s="323"/>
      <c r="L110" s="323" t="s">
        <v>2047</v>
      </c>
      <c r="M110" s="323"/>
      <c r="N110" s="323" t="s">
        <v>2047</v>
      </c>
      <c r="O110" s="323"/>
      <c r="P110" s="323"/>
      <c r="Q110" s="323"/>
      <c r="R110" s="323"/>
      <c r="S110" s="333" t="s">
        <v>817</v>
      </c>
      <c r="T110" s="323"/>
      <c r="U110" s="357" t="s">
        <v>817</v>
      </c>
      <c r="V110" s="323"/>
      <c r="W110" s="323"/>
      <c r="X110" s="323" t="s">
        <v>1079</v>
      </c>
      <c r="Y110" s="323"/>
      <c r="Z110" s="323"/>
      <c r="AA110" s="323" t="s">
        <v>864</v>
      </c>
      <c r="AB110" s="323" t="s">
        <v>864</v>
      </c>
      <c r="AC110" s="332" t="s">
        <v>1620</v>
      </c>
      <c r="AD110" s="323"/>
      <c r="AE110" s="323"/>
      <c r="AF110" s="323"/>
      <c r="AG110" s="323"/>
      <c r="AH110" s="323"/>
      <c r="AI110" s="333" t="s">
        <v>817</v>
      </c>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2">
        <v>103</v>
      </c>
      <c r="B111" s="342"/>
      <c r="C111" s="342" t="s">
        <v>2048</v>
      </c>
      <c r="D111" s="346"/>
      <c r="E111" s="342"/>
      <c r="F111" s="342"/>
      <c r="G111" s="342"/>
      <c r="H111" s="317" t="s">
        <v>2049</v>
      </c>
      <c r="I111" s="317" t="s">
        <v>2050</v>
      </c>
      <c r="J111" s="317"/>
      <c r="K111" s="317"/>
      <c r="L111" s="317" t="s">
        <v>2051</v>
      </c>
      <c r="M111" s="317"/>
      <c r="N111" s="317" t="s">
        <v>2051</v>
      </c>
      <c r="O111" s="317"/>
      <c r="P111" s="317"/>
      <c r="Q111" s="317"/>
      <c r="R111" s="317"/>
      <c r="S111" s="327" t="s">
        <v>817</v>
      </c>
      <c r="T111" s="317"/>
      <c r="U111" s="358" t="s">
        <v>817</v>
      </c>
      <c r="V111" s="317"/>
      <c r="W111" s="317"/>
      <c r="X111" s="317" t="s">
        <v>863</v>
      </c>
      <c r="Y111" s="317"/>
      <c r="Z111" s="317" t="s">
        <v>2052</v>
      </c>
      <c r="AA111" s="317" t="s">
        <v>864</v>
      </c>
      <c r="AB111" s="317" t="s">
        <v>864</v>
      </c>
      <c r="AC111" s="321" t="s">
        <v>1620</v>
      </c>
      <c r="AD111" s="317"/>
      <c r="AE111" s="317"/>
      <c r="AF111" s="317"/>
      <c r="AG111" s="317"/>
      <c r="AH111" s="317"/>
      <c r="AI111" s="327" t="s">
        <v>817</v>
      </c>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1">
        <v>104</v>
      </c>
      <c r="B112" s="351"/>
      <c r="C112" s="351" t="s">
        <v>2053</v>
      </c>
      <c r="D112" s="351"/>
      <c r="E112" s="351"/>
      <c r="F112" s="351"/>
      <c r="G112" s="351"/>
      <c r="H112" s="323" t="s">
        <v>2054</v>
      </c>
      <c r="I112" s="323" t="s">
        <v>2055</v>
      </c>
      <c r="J112" s="323" t="s">
        <v>2056</v>
      </c>
      <c r="K112" s="323" t="s">
        <v>864</v>
      </c>
      <c r="L112" s="323" t="s">
        <v>1792</v>
      </c>
      <c r="M112" s="323"/>
      <c r="N112" s="323" t="s">
        <v>1792</v>
      </c>
      <c r="O112" s="323"/>
      <c r="P112" s="323"/>
      <c r="Q112" s="323"/>
      <c r="R112" s="323"/>
      <c r="S112" s="333" t="s">
        <v>817</v>
      </c>
      <c r="T112" s="323"/>
      <c r="U112" s="357" t="s">
        <v>817</v>
      </c>
      <c r="V112" s="323"/>
      <c r="W112" s="323"/>
      <c r="X112" s="323" t="s">
        <v>863</v>
      </c>
      <c r="Y112" s="323"/>
      <c r="Z112" s="323" t="s">
        <v>2057</v>
      </c>
      <c r="AA112" s="323" t="s">
        <v>864</v>
      </c>
      <c r="AB112" s="323" t="s">
        <v>864</v>
      </c>
      <c r="AC112" s="321" t="s">
        <v>1620</v>
      </c>
      <c r="AD112" s="323"/>
      <c r="AE112" s="323"/>
      <c r="AF112" s="323"/>
      <c r="AG112" s="323"/>
      <c r="AH112" s="323">
        <v>1</v>
      </c>
      <c r="AI112" s="325" t="s">
        <v>820</v>
      </c>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2">
        <v>105</v>
      </c>
      <c r="B113" s="342"/>
      <c r="C113" s="342" t="s">
        <v>2058</v>
      </c>
      <c r="D113" s="342"/>
      <c r="E113" s="342"/>
      <c r="F113" s="342"/>
      <c r="G113" s="342"/>
      <c r="H113" s="317" t="s">
        <v>2059</v>
      </c>
      <c r="I113" s="317" t="s">
        <v>2060</v>
      </c>
      <c r="J113" s="317" t="s">
        <v>1269</v>
      </c>
      <c r="K113" s="317"/>
      <c r="L113" s="317" t="s">
        <v>2061</v>
      </c>
      <c r="M113" s="317"/>
      <c r="N113" s="317" t="s">
        <v>2061</v>
      </c>
      <c r="O113" s="317"/>
      <c r="P113" s="317"/>
      <c r="Q113" s="317"/>
      <c r="R113" s="317"/>
      <c r="S113" s="327" t="s">
        <v>817</v>
      </c>
      <c r="T113" s="349"/>
      <c r="U113" s="358" t="s">
        <v>817</v>
      </c>
      <c r="V113" s="317"/>
      <c r="W113" s="317"/>
      <c r="X113" s="317" t="s">
        <v>863</v>
      </c>
      <c r="Y113" s="317"/>
      <c r="Z113" s="317"/>
      <c r="AA113" s="317" t="s">
        <v>864</v>
      </c>
      <c r="AB113" s="317" t="s">
        <v>864</v>
      </c>
      <c r="AC113" s="321" t="s">
        <v>1620</v>
      </c>
      <c r="AD113" s="317"/>
      <c r="AE113" s="317"/>
      <c r="AF113" s="317"/>
      <c r="AG113" s="317"/>
      <c r="AH113" s="317"/>
      <c r="AI113" s="327" t="s">
        <v>817</v>
      </c>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45">
        <v>106</v>
      </c>
      <c r="B114" s="345"/>
      <c r="C114" s="345" t="s">
        <v>2062</v>
      </c>
      <c r="D114" s="347"/>
      <c r="E114" s="347"/>
      <c r="F114" s="347"/>
      <c r="G114" s="347"/>
      <c r="H114" s="323" t="s">
        <v>2063</v>
      </c>
      <c r="I114" s="323" t="s">
        <v>2064</v>
      </c>
      <c r="J114" s="330"/>
      <c r="K114" s="323" t="s">
        <v>864</v>
      </c>
      <c r="L114" s="323" t="s">
        <v>2065</v>
      </c>
      <c r="M114" s="323"/>
      <c r="N114" s="323" t="s">
        <v>2065</v>
      </c>
      <c r="O114" s="323"/>
      <c r="P114" s="323"/>
      <c r="Q114" s="323"/>
      <c r="R114" s="323"/>
      <c r="S114" s="331" t="s">
        <v>823</v>
      </c>
      <c r="T114" s="323"/>
      <c r="U114" s="356" t="s">
        <v>823</v>
      </c>
      <c r="V114" s="323"/>
      <c r="W114" s="323" t="s">
        <v>864</v>
      </c>
      <c r="X114" s="323" t="s">
        <v>1251</v>
      </c>
      <c r="Y114" s="323"/>
      <c r="Z114" s="323"/>
      <c r="AA114" s="323" t="s">
        <v>864</v>
      </c>
      <c r="AB114" s="323" t="s">
        <v>864</v>
      </c>
      <c r="AC114" s="321" t="s">
        <v>1620</v>
      </c>
      <c r="AD114" s="323"/>
      <c r="AE114" s="323"/>
      <c r="AF114" s="323"/>
      <c r="AG114" s="323"/>
      <c r="AH114" s="323"/>
      <c r="AI114" s="331" t="s">
        <v>823</v>
      </c>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2">
        <v>107</v>
      </c>
      <c r="B115" s="342"/>
      <c r="C115" s="342"/>
      <c r="D115" s="342" t="s">
        <v>2066</v>
      </c>
      <c r="E115" s="342"/>
      <c r="F115" s="342"/>
      <c r="G115" s="342"/>
      <c r="H115" s="317" t="s">
        <v>2067</v>
      </c>
      <c r="I115" s="317" t="s">
        <v>2068</v>
      </c>
      <c r="J115" s="317" t="s">
        <v>1255</v>
      </c>
      <c r="K115" s="317" t="s">
        <v>864</v>
      </c>
      <c r="L115" s="317" t="s">
        <v>1710</v>
      </c>
      <c r="M115" s="317"/>
      <c r="N115" s="317" t="s">
        <v>1710</v>
      </c>
      <c r="O115" s="317"/>
      <c r="P115" s="317"/>
      <c r="Q115" s="317"/>
      <c r="R115" s="317"/>
      <c r="S115" s="320" t="s">
        <v>820</v>
      </c>
      <c r="T115" s="317"/>
      <c r="U115" s="359" t="s">
        <v>820</v>
      </c>
      <c r="V115" s="317"/>
      <c r="W115" s="317"/>
      <c r="X115" s="317" t="s">
        <v>863</v>
      </c>
      <c r="Y115" s="317"/>
      <c r="Z115" s="317" t="s">
        <v>1256</v>
      </c>
      <c r="AA115" s="317" t="s">
        <v>864</v>
      </c>
      <c r="AB115" s="317" t="s">
        <v>864</v>
      </c>
      <c r="AC115" s="332" t="s">
        <v>1620</v>
      </c>
      <c r="AD115" s="317"/>
      <c r="AE115" s="317"/>
      <c r="AF115" s="317"/>
      <c r="AG115" s="317"/>
      <c r="AH115" s="317"/>
      <c r="AI115" s="320" t="s">
        <v>820</v>
      </c>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45">
        <v>108</v>
      </c>
      <c r="B116" s="345"/>
      <c r="C116" s="345"/>
      <c r="D116" s="345" t="s">
        <v>2069</v>
      </c>
      <c r="E116" s="345"/>
      <c r="F116" s="345"/>
      <c r="G116" s="345"/>
      <c r="H116" s="323" t="s">
        <v>2070</v>
      </c>
      <c r="I116" s="323" t="s">
        <v>2071</v>
      </c>
      <c r="J116" s="376">
        <v>606070707</v>
      </c>
      <c r="K116" s="323" t="s">
        <v>864</v>
      </c>
      <c r="L116" s="323" t="s">
        <v>2072</v>
      </c>
      <c r="M116" s="323"/>
      <c r="N116" s="323" t="s">
        <v>2072</v>
      </c>
      <c r="O116" s="323"/>
      <c r="P116" s="323"/>
      <c r="Q116" s="323"/>
      <c r="R116" s="323"/>
      <c r="S116" s="325" t="s">
        <v>820</v>
      </c>
      <c r="T116" s="323"/>
      <c r="U116" s="352" t="s">
        <v>820</v>
      </c>
      <c r="V116" s="323"/>
      <c r="W116" s="323"/>
      <c r="X116" s="323" t="s">
        <v>863</v>
      </c>
      <c r="Y116" s="323"/>
      <c r="Z116" s="323"/>
      <c r="AA116" s="323" t="s">
        <v>864</v>
      </c>
      <c r="AB116" s="323" t="s">
        <v>864</v>
      </c>
      <c r="AC116" s="321" t="s">
        <v>1620</v>
      </c>
      <c r="AD116" s="323"/>
      <c r="AE116" s="323"/>
      <c r="AF116" s="323"/>
      <c r="AG116" s="323"/>
      <c r="AH116" s="323"/>
      <c r="AI116" s="325" t="s">
        <v>820</v>
      </c>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60">
        <f>COUNTA(A9:A116)</f>
        <v>108</v>
      </c>
      <c r="B117" s="360">
        <f t="shared" ref="B117:G117" si="0">COUNTA(B9:B116)</f>
        <v>4</v>
      </c>
      <c r="C117" s="360">
        <f t="shared" si="0"/>
        <v>54</v>
      </c>
      <c r="D117" s="360">
        <f t="shared" si="0"/>
        <v>41</v>
      </c>
      <c r="E117" s="360">
        <f t="shared" si="0"/>
        <v>8</v>
      </c>
      <c r="F117" s="360">
        <f t="shared" si="0"/>
        <v>3</v>
      </c>
      <c r="G117" s="360">
        <f t="shared" si="0"/>
        <v>0</v>
      </c>
      <c r="H117" s="361"/>
      <c r="I117" s="361"/>
      <c r="J117" s="361"/>
      <c r="K117" s="361"/>
      <c r="L117" s="361"/>
      <c r="M117" s="361"/>
      <c r="N117" s="361"/>
      <c r="O117" s="361"/>
      <c r="P117" s="361"/>
      <c r="Q117" s="361"/>
      <c r="R117" s="361"/>
      <c r="S117" s="361"/>
      <c r="T117" s="361"/>
      <c r="U117" s="361"/>
      <c r="V117" s="361"/>
      <c r="W117" s="361">
        <v>21</v>
      </c>
      <c r="X117" s="361">
        <v>128</v>
      </c>
      <c r="Y117" s="361"/>
      <c r="Z117" s="361"/>
      <c r="AA117" s="361"/>
      <c r="AB117" s="361"/>
      <c r="AC117" s="362" t="s">
        <v>1620</v>
      </c>
      <c r="AD117" s="361">
        <v>11</v>
      </c>
      <c r="AE117" s="361">
        <v>1</v>
      </c>
      <c r="AF117" s="361">
        <v>0</v>
      </c>
      <c r="AG117" s="361">
        <v>82</v>
      </c>
      <c r="AH117" s="361">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3"/>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c r="A119" s="129"/>
      <c r="B119" s="364"/>
      <c r="C119" s="364"/>
      <c r="D119" s="364"/>
      <c r="E119" s="364"/>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3"/>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3"/>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3"/>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3"/>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3"/>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c r="A124" s="128"/>
      <c r="B124" s="128"/>
      <c r="C124" s="128"/>
      <c r="D124" s="128"/>
      <c r="E124" s="128"/>
      <c r="F124" s="128"/>
      <c r="G124" s="128"/>
      <c r="H124" s="128"/>
      <c r="I124" s="128"/>
      <c r="J124" s="128"/>
      <c r="K124" s="128"/>
      <c r="L124" s="128"/>
      <c r="M124" s="128"/>
      <c r="N124" s="128"/>
      <c r="P124" s="128"/>
      <c r="Q124" s="128"/>
      <c r="R124" s="128"/>
      <c r="S124" s="128"/>
      <c r="AC124" s="363"/>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3"/>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c r="A126" s="117"/>
      <c r="B126" s="117"/>
      <c r="C126" s="117"/>
      <c r="D126" s="117"/>
      <c r="E126" s="117"/>
      <c r="F126" s="117"/>
      <c r="G126" s="117"/>
      <c r="H126" s="117"/>
      <c r="I126" s="117"/>
      <c r="J126" s="117"/>
      <c r="K126" s="117"/>
      <c r="L126" s="117"/>
      <c r="M126" s="117"/>
      <c r="N126" s="117"/>
      <c r="P126" s="117"/>
      <c r="Q126" s="117"/>
      <c r="R126" s="117"/>
      <c r="S126" s="117"/>
      <c r="AC126" s="363"/>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c r="A127" s="128"/>
      <c r="B127" s="128"/>
      <c r="C127" s="128"/>
      <c r="D127" s="128"/>
      <c r="E127" s="128"/>
      <c r="F127" s="96"/>
      <c r="G127" s="96"/>
      <c r="H127" s="96"/>
      <c r="I127" s="96"/>
      <c r="J127" s="96"/>
      <c r="K127" s="96"/>
      <c r="L127" s="96"/>
      <c r="M127" s="96"/>
      <c r="N127" s="96"/>
      <c r="P127" s="96"/>
      <c r="Q127" s="96"/>
      <c r="R127" s="96"/>
      <c r="S127" s="96"/>
      <c r="AC127" s="363"/>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c r="A128" s="128"/>
      <c r="B128" s="128"/>
      <c r="C128" s="128"/>
      <c r="D128" s="128"/>
      <c r="E128" s="128"/>
      <c r="F128" s="96"/>
      <c r="G128" s="96"/>
      <c r="H128" s="96"/>
      <c r="I128" s="96"/>
      <c r="J128" s="96"/>
      <c r="K128" s="96"/>
      <c r="L128" s="96"/>
      <c r="M128" s="96"/>
      <c r="N128" s="96"/>
      <c r="P128" s="96"/>
      <c r="Q128" s="96"/>
      <c r="R128" s="96"/>
      <c r="S128" s="96"/>
      <c r="AC128" s="363"/>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c r="A139" s="130"/>
      <c r="B139" s="365"/>
      <c r="C139" s="365"/>
      <c r="D139" s="365"/>
      <c r="E139" s="365"/>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c r="A140" s="366"/>
      <c r="B140" s="367"/>
      <c r="C140" s="367"/>
      <c r="D140" s="367"/>
      <c r="E140" s="367"/>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c r="A141" s="366"/>
      <c r="B141" s="367"/>
      <c r="C141" s="367"/>
      <c r="D141" s="367"/>
      <c r="E141" s="367"/>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c r="A142" s="366"/>
      <c r="B142" s="367"/>
      <c r="C142" s="367"/>
      <c r="D142" s="367"/>
      <c r="E142" s="367"/>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c r="A143" s="366"/>
      <c r="B143" s="367"/>
      <c r="C143" s="367"/>
      <c r="D143" s="367"/>
      <c r="E143" s="367"/>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c r="A144" s="366"/>
      <c r="B144" s="367"/>
      <c r="C144" s="367"/>
      <c r="D144" s="367"/>
      <c r="E144" s="367"/>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c r="A145" s="366"/>
      <c r="B145" s="367"/>
      <c r="C145" s="367"/>
      <c r="D145" s="367"/>
      <c r="E145" s="367"/>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c r="A146" s="366"/>
      <c r="B146" s="367"/>
      <c r="C146" s="367"/>
      <c r="D146" s="367"/>
      <c r="E146" s="367"/>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c r="A147" s="368"/>
      <c r="B147" s="369"/>
      <c r="C147" s="369"/>
      <c r="D147" s="369"/>
      <c r="E147" s="369"/>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c r="A148" s="368"/>
      <c r="B148" s="369"/>
      <c r="C148" s="369"/>
      <c r="D148" s="369"/>
      <c r="E148" s="369"/>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c r="A149" s="368"/>
      <c r="B149" s="369"/>
      <c r="C149" s="369"/>
      <c r="D149" s="369"/>
      <c r="E149" s="369"/>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c r="A150" s="368"/>
      <c r="B150" s="369"/>
      <c r="C150" s="369"/>
      <c r="D150" s="369"/>
      <c r="E150" s="369"/>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c r="A151" s="368"/>
      <c r="B151" s="369"/>
      <c r="C151" s="369"/>
      <c r="D151" s="369"/>
      <c r="E151" s="369"/>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c r="A152" s="368"/>
      <c r="B152" s="369"/>
      <c r="C152" s="369"/>
      <c r="D152" s="369"/>
      <c r="E152" s="369"/>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c r="A153" s="368"/>
      <c r="B153" s="369"/>
      <c r="C153" s="369"/>
      <c r="D153" s="369"/>
      <c r="E153" s="369"/>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c r="A154" s="368"/>
      <c r="B154" s="369"/>
      <c r="C154" s="369"/>
      <c r="D154" s="369"/>
      <c r="E154" s="369"/>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c r="A155" s="366"/>
      <c r="B155" s="367"/>
      <c r="C155" s="367"/>
      <c r="D155" s="367"/>
      <c r="E155" s="367"/>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c r="A156" s="370"/>
      <c r="B156" s="371"/>
      <c r="C156" s="371"/>
      <c r="D156" s="371"/>
      <c r="E156" s="371"/>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c r="A157" s="370"/>
      <c r="B157" s="371"/>
      <c r="C157" s="371"/>
      <c r="D157" s="371"/>
      <c r="E157" s="371"/>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c r="A158" s="370"/>
      <c r="B158" s="371"/>
      <c r="C158" s="371"/>
      <c r="D158" s="371"/>
      <c r="E158" s="371"/>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c r="A159" s="370"/>
      <c r="B159" s="371"/>
      <c r="C159" s="371"/>
      <c r="D159" s="371"/>
      <c r="E159" s="371"/>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c r="A160" s="370"/>
      <c r="B160" s="371"/>
      <c r="C160" s="371"/>
      <c r="D160" s="371"/>
      <c r="E160" s="371"/>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c r="A161" s="370"/>
      <c r="B161" s="371"/>
      <c r="C161" s="371"/>
      <c r="D161" s="371"/>
      <c r="E161" s="371"/>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c r="A162" s="370"/>
      <c r="B162" s="371"/>
      <c r="C162" s="371"/>
      <c r="D162" s="371"/>
      <c r="E162" s="371"/>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c r="A163" s="366"/>
      <c r="B163" s="367"/>
      <c r="C163" s="367"/>
      <c r="D163" s="367"/>
      <c r="E163" s="367"/>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c r="A164" s="366"/>
      <c r="B164" s="367"/>
      <c r="C164" s="367"/>
      <c r="D164" s="367"/>
      <c r="E164" s="367"/>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c r="A165" s="366"/>
      <c r="B165" s="367"/>
      <c r="C165" s="367"/>
      <c r="D165" s="367"/>
      <c r="E165" s="367"/>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c r="A166" s="136"/>
      <c r="B166" s="372"/>
      <c r="C166" s="372"/>
      <c r="D166" s="372"/>
      <c r="E166" s="372"/>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c r="A167" s="136"/>
      <c r="B167" s="372"/>
      <c r="C167" s="372"/>
      <c r="D167" s="372"/>
      <c r="E167" s="372"/>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CE99C-933B-4191-B7DE-5FCFF0A96192}">
  <dimension ref="A1:AMB143"/>
  <sheetViews>
    <sheetView topLeftCell="A4" zoomScale="85" zoomScaleNormal="85" workbookViewId="0">
      <selection activeCell="W8" sqref="W8"/>
    </sheetView>
  </sheetViews>
  <sheetFormatPr defaultColWidth="9.5" defaultRowHeight="15"/>
  <cols>
    <col min="1" max="1" width="4.625" style="128" customWidth="1"/>
    <col min="2" max="2" width="35.875" style="128" bestFit="1" customWidth="1"/>
    <col min="3" max="3" width="39.625" style="128" bestFit="1" customWidth="1"/>
    <col min="4" max="4" width="34.125" style="128" bestFit="1" customWidth="1"/>
    <col min="5" max="5" width="10.5" style="128" customWidth="1"/>
    <col min="6" max="6" width="11" style="128" customWidth="1"/>
    <col min="7" max="7" width="9.625" style="96" customWidth="1"/>
    <col min="8" max="8" width="62.875" style="96" customWidth="1"/>
    <col min="9" max="9" width="26.5" style="225" bestFit="1" customWidth="1"/>
    <col min="10" max="10" width="12" style="96" customWidth="1"/>
    <col min="11" max="11" width="17" style="159" bestFit="1" customWidth="1"/>
    <col min="12" max="12" width="7.625" style="96" hidden="1" customWidth="1"/>
    <col min="13" max="13" width="9.625" style="96" hidden="1" customWidth="1"/>
    <col min="14" max="14" width="6.125" style="96" hidden="1" customWidth="1"/>
    <col min="15" max="15" width="10.625" style="96" hidden="1" customWidth="1"/>
    <col min="16" max="16" width="11.125" style="173" hidden="1" customWidth="1"/>
    <col min="17" max="17" width="10.5" style="96" customWidth="1"/>
    <col min="18" max="18" width="6" style="96" customWidth="1"/>
    <col min="19" max="19" width="18.5" style="96" customWidth="1"/>
    <col min="20" max="20" width="12.625" style="278" customWidth="1"/>
    <col min="21" max="21" width="28.125" style="96" customWidth="1"/>
    <col min="22" max="22" width="8.875" style="96" hidden="1" customWidth="1"/>
    <col min="23" max="23" width="8.125" style="96" customWidth="1"/>
    <col min="24" max="24" width="8.125" style="96" hidden="1" customWidth="1"/>
    <col min="25" max="25" width="22.625" style="179" hidden="1" customWidth="1"/>
    <col min="26" max="26" width="24.375" style="96" hidden="1" customWidth="1"/>
    <col min="27" max="27" width="24.5" style="159" hidden="1" customWidth="1"/>
    <col min="28" max="28" width="17.5" style="96" hidden="1" customWidth="1"/>
    <col min="29" max="29" width="9.5" hidden="1" customWidth="1"/>
    <col min="30" max="30" width="8" style="96" hidden="1" customWidth="1"/>
    <col min="31" max="31" width="8.875" style="128" customWidth="1"/>
    <col min="33" max="1013" width="9.5" style="128"/>
    <col min="1014" max="1014" width="9" style="128" customWidth="1"/>
    <col min="1015" max="1016" width="9" customWidth="1"/>
  </cols>
  <sheetData>
    <row r="1" spans="1:1014" ht="13.5" customHeight="1">
      <c r="A1" s="228" t="s">
        <v>2073</v>
      </c>
      <c r="C1" s="129" t="s">
        <v>813</v>
      </c>
      <c r="E1" s="150" t="s">
        <v>814</v>
      </c>
      <c r="F1" s="157">
        <f>createCase215[[#Totals],[Métier]] / createCase215[[#Totals],[ID]]</f>
        <v>0</v>
      </c>
      <c r="G1" s="128"/>
      <c r="AC1" s="96"/>
      <c r="AE1"/>
      <c r="AF1" s="128"/>
      <c r="ALZ1"/>
    </row>
    <row r="2" spans="1:1014" ht="13.5" customHeight="1">
      <c r="C2" s="141" t="s">
        <v>818</v>
      </c>
      <c r="D2" s="285"/>
      <c r="E2" s="152" t="s">
        <v>819</v>
      </c>
      <c r="F2" s="157">
        <f>createCase215[[#Totals],[NexSIS]] / createCase215[[#Totals],[ID]]</f>
        <v>0</v>
      </c>
      <c r="G2" s="128"/>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s="148"/>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78"/>
      <c r="E7" s="138"/>
      <c r="F7" s="138"/>
      <c r="L7" s="591" t="s">
        <v>828</v>
      </c>
      <c r="M7" s="591"/>
      <c r="N7" s="591"/>
      <c r="O7" s="591"/>
      <c r="V7" s="592" t="s">
        <v>829</v>
      </c>
      <c r="W7" s="592"/>
      <c r="X7" s="592"/>
      <c r="AC7" s="591" t="s">
        <v>830</v>
      </c>
      <c r="AD7" s="591"/>
      <c r="AE7"/>
      <c r="AF7" s="128"/>
      <c r="ALZ7"/>
    </row>
    <row r="8" spans="1:1014"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1601</v>
      </c>
      <c r="X8" s="229" t="s">
        <v>2074</v>
      </c>
      <c r="Y8" s="235" t="s">
        <v>853</v>
      </c>
      <c r="Z8" s="235" t="s">
        <v>854</v>
      </c>
      <c r="AA8" s="236" t="s">
        <v>855</v>
      </c>
      <c r="AB8" s="235" t="s">
        <v>856</v>
      </c>
      <c r="AC8" s="235" t="s">
        <v>857</v>
      </c>
      <c r="AD8" s="237" t="s">
        <v>915</v>
      </c>
    </row>
    <row r="9" spans="1:1014" s="224" customFormat="1" ht="13.5" customHeight="1">
      <c r="A9" s="225">
        <v>1</v>
      </c>
      <c r="B9" s="217" t="s">
        <v>2075</v>
      </c>
      <c r="C9" s="219"/>
      <c r="D9" s="610"/>
      <c r="E9" s="610"/>
      <c r="F9" s="610"/>
      <c r="G9" s="610"/>
      <c r="H9" s="575" t="s">
        <v>1602</v>
      </c>
      <c r="I9" s="317" t="s">
        <v>1658</v>
      </c>
      <c r="J9" s="575"/>
      <c r="K9" s="611" t="s">
        <v>919</v>
      </c>
      <c r="L9" s="575" t="s">
        <v>1605</v>
      </c>
      <c r="M9" s="575" t="s">
        <v>1606</v>
      </c>
      <c r="N9" s="575"/>
      <c r="O9" s="575"/>
      <c r="P9" s="612">
        <v>1</v>
      </c>
      <c r="Q9" s="575" t="s">
        <v>820</v>
      </c>
      <c r="R9" s="613"/>
      <c r="S9" s="575" t="s">
        <v>863</v>
      </c>
      <c r="T9" s="613"/>
      <c r="U9" s="575"/>
      <c r="V9" s="614"/>
      <c r="W9" s="614" t="s">
        <v>864</v>
      </c>
      <c r="X9" s="614"/>
      <c r="Y9" s="615"/>
      <c r="Z9" s="575"/>
      <c r="AA9" s="616"/>
      <c r="AB9" s="575"/>
      <c r="AC9" s="613"/>
      <c r="AD9" s="613"/>
    </row>
    <row r="10" spans="1:1014" s="224" customFormat="1" ht="13.5" customHeight="1">
      <c r="A10" s="225">
        <v>2</v>
      </c>
      <c r="B10" s="253" t="s">
        <v>945</v>
      </c>
      <c r="C10" s="219"/>
      <c r="D10" s="221"/>
      <c r="E10" s="221"/>
      <c r="F10" s="221"/>
      <c r="G10" s="221"/>
      <c r="H10" s="575" t="s">
        <v>946</v>
      </c>
      <c r="I10" s="131" t="s">
        <v>947</v>
      </c>
      <c r="J10" s="575"/>
      <c r="K10" s="611" t="s">
        <v>925</v>
      </c>
      <c r="L10" s="575" t="s">
        <v>926</v>
      </c>
      <c r="M10" s="575" t="s">
        <v>927</v>
      </c>
      <c r="N10" s="575"/>
      <c r="O10" s="575"/>
      <c r="P10" s="612"/>
      <c r="Q10" s="575" t="s">
        <v>817</v>
      </c>
      <c r="R10" s="613"/>
      <c r="S10" s="575" t="s">
        <v>863</v>
      </c>
      <c r="T10" s="613"/>
      <c r="U10" s="575"/>
      <c r="V10" s="614"/>
      <c r="W10" s="614" t="s">
        <v>864</v>
      </c>
      <c r="X10" s="614"/>
      <c r="Y10" s="615"/>
      <c r="Z10" s="575"/>
      <c r="AA10" s="616"/>
      <c r="AB10" s="575"/>
      <c r="AC10" s="613"/>
      <c r="AD10" s="613"/>
    </row>
    <row r="11" spans="1:1014" s="224" customFormat="1" ht="13.5" customHeight="1">
      <c r="A11" s="225">
        <v>3</v>
      </c>
      <c r="B11" s="217" t="s">
        <v>2076</v>
      </c>
      <c r="C11" s="219"/>
      <c r="D11" s="241"/>
      <c r="E11" s="241"/>
      <c r="F11" s="241"/>
      <c r="G11" s="241"/>
      <c r="H11" s="575"/>
      <c r="I11" s="611" t="s">
        <v>930</v>
      </c>
      <c r="J11" s="575"/>
      <c r="K11" s="611" t="s">
        <v>931</v>
      </c>
      <c r="L11" s="575"/>
      <c r="M11" s="575"/>
      <c r="N11" s="575"/>
      <c r="O11" s="575"/>
      <c r="P11" s="612"/>
      <c r="Q11" s="575" t="s">
        <v>820</v>
      </c>
      <c r="R11" s="613"/>
      <c r="S11" s="575" t="s">
        <v>879</v>
      </c>
      <c r="T11" s="613"/>
      <c r="U11" s="575"/>
      <c r="V11" s="614"/>
      <c r="W11" s="614" t="s">
        <v>864</v>
      </c>
      <c r="X11" s="614"/>
      <c r="Y11" s="615"/>
      <c r="Z11" s="575"/>
      <c r="AA11" s="616"/>
      <c r="AB11" s="575"/>
      <c r="AC11" s="613"/>
      <c r="AD11" s="613"/>
    </row>
    <row r="12" spans="1:1014" s="224" customFormat="1" ht="13.5" customHeight="1">
      <c r="A12" s="225">
        <v>4</v>
      </c>
      <c r="B12" s="216" t="s">
        <v>1351</v>
      </c>
      <c r="C12" s="572"/>
      <c r="D12" s="571"/>
      <c r="E12" s="571"/>
      <c r="F12" s="571"/>
      <c r="G12" s="571"/>
      <c r="H12" s="626"/>
      <c r="I12" s="627"/>
      <c r="J12" s="626"/>
      <c r="K12" s="611" t="s">
        <v>1354</v>
      </c>
      <c r="L12" s="575"/>
      <c r="M12" s="575"/>
      <c r="N12" s="575"/>
      <c r="O12" s="575"/>
      <c r="P12" s="612"/>
      <c r="Q12" s="575" t="s">
        <v>820</v>
      </c>
      <c r="R12" s="613" t="s">
        <v>864</v>
      </c>
      <c r="S12" s="379" t="s">
        <v>1354</v>
      </c>
      <c r="T12" s="613"/>
      <c r="U12" s="575"/>
      <c r="V12" s="614"/>
      <c r="W12" s="614" t="s">
        <v>864</v>
      </c>
      <c r="X12" s="614"/>
      <c r="Y12" s="615"/>
      <c r="Z12" s="575"/>
      <c r="AA12" s="616"/>
      <c r="AB12" s="575"/>
      <c r="AC12" s="613"/>
      <c r="AD12" s="613"/>
    </row>
    <row r="13" spans="1:1014" s="224" customFormat="1" ht="13.5" customHeight="1">
      <c r="A13" s="225">
        <v>5</v>
      </c>
      <c r="B13" s="217"/>
      <c r="C13" s="217" t="s">
        <v>2077</v>
      </c>
      <c r="D13" s="241"/>
      <c r="E13" s="241"/>
      <c r="F13" s="241"/>
      <c r="G13" s="241"/>
      <c r="H13" s="575"/>
      <c r="I13" s="611"/>
      <c r="J13" s="575"/>
      <c r="K13" s="611" t="s">
        <v>2078</v>
      </c>
      <c r="L13" s="575"/>
      <c r="M13" s="575"/>
      <c r="N13" s="575"/>
      <c r="O13" s="575"/>
      <c r="P13" s="612"/>
      <c r="Q13" s="575" t="s">
        <v>820</v>
      </c>
      <c r="R13" s="613"/>
      <c r="S13" s="619" t="s">
        <v>863</v>
      </c>
      <c r="T13" s="613"/>
      <c r="U13" s="575"/>
      <c r="V13" s="614"/>
      <c r="W13" s="614" t="s">
        <v>864</v>
      </c>
      <c r="X13" s="614"/>
      <c r="Y13" s="615"/>
      <c r="Z13" s="575"/>
      <c r="AA13" s="616"/>
      <c r="AB13" s="575"/>
      <c r="AC13" s="613"/>
      <c r="AD13" s="613"/>
    </row>
    <row r="14" spans="1:1014" s="224" customFormat="1" ht="13.5" customHeight="1">
      <c r="A14" s="225">
        <v>6</v>
      </c>
      <c r="B14" s="217"/>
      <c r="C14" s="219" t="s">
        <v>2079</v>
      </c>
      <c r="D14" s="241"/>
      <c r="E14" s="241"/>
      <c r="F14" s="241"/>
      <c r="G14" s="241"/>
      <c r="H14" s="575"/>
      <c r="I14" s="611"/>
      <c r="J14" s="575"/>
      <c r="K14" s="611" t="s">
        <v>2080</v>
      </c>
      <c r="L14" s="575"/>
      <c r="M14" s="575"/>
      <c r="N14" s="575"/>
      <c r="O14" s="575"/>
      <c r="P14" s="612"/>
      <c r="Q14" s="575" t="s">
        <v>820</v>
      </c>
      <c r="R14" s="613"/>
      <c r="S14" s="619" t="s">
        <v>863</v>
      </c>
      <c r="T14" s="613"/>
      <c r="U14" s="575"/>
      <c r="V14" s="614"/>
      <c r="W14" s="614" t="s">
        <v>864</v>
      </c>
      <c r="X14" s="614"/>
      <c r="Y14" s="615"/>
      <c r="Z14" s="575"/>
      <c r="AA14" s="616"/>
      <c r="AB14" s="575"/>
      <c r="AC14" s="613"/>
      <c r="AD14" s="613"/>
    </row>
    <row r="15" spans="1:1014" s="224" customFormat="1" ht="13.5" customHeight="1">
      <c r="A15" s="225">
        <v>7</v>
      </c>
      <c r="B15" s="217"/>
      <c r="C15" s="219" t="s">
        <v>2081</v>
      </c>
      <c r="D15" s="241"/>
      <c r="E15" s="241"/>
      <c r="F15" s="241"/>
      <c r="G15" s="241"/>
      <c r="H15" s="575"/>
      <c r="I15" s="611"/>
      <c r="J15" s="575"/>
      <c r="K15" s="611" t="s">
        <v>2082</v>
      </c>
      <c r="L15" s="575"/>
      <c r="M15" s="575"/>
      <c r="N15" s="575"/>
      <c r="O15" s="575"/>
      <c r="P15" s="612"/>
      <c r="Q15" s="575" t="s">
        <v>817</v>
      </c>
      <c r="R15" s="613"/>
      <c r="S15" s="619" t="s">
        <v>863</v>
      </c>
      <c r="T15" s="613"/>
      <c r="U15" s="575"/>
      <c r="V15" s="614"/>
      <c r="W15" s="614" t="s">
        <v>864</v>
      </c>
      <c r="X15" s="614"/>
      <c r="Y15" s="615"/>
      <c r="Z15" s="575"/>
      <c r="AA15" s="616"/>
      <c r="AB15" s="575"/>
      <c r="AC15" s="613"/>
      <c r="AD15" s="613"/>
    </row>
    <row r="16" spans="1:1014" s="224" customFormat="1" ht="13.5" customHeight="1">
      <c r="A16" s="225">
        <v>8</v>
      </c>
      <c r="B16" s="217"/>
      <c r="C16" s="219" t="s">
        <v>2083</v>
      </c>
      <c r="D16" s="241"/>
      <c r="E16" s="241"/>
      <c r="F16" s="241"/>
      <c r="G16" s="241"/>
      <c r="H16" s="575"/>
      <c r="I16" s="611"/>
      <c r="J16" s="575"/>
      <c r="K16" s="611" t="s">
        <v>1583</v>
      </c>
      <c r="L16" s="575"/>
      <c r="M16" s="575"/>
      <c r="N16" s="575"/>
      <c r="O16" s="575"/>
      <c r="P16" s="612"/>
      <c r="Q16" s="575" t="s">
        <v>823</v>
      </c>
      <c r="R16" s="613"/>
      <c r="S16" s="619" t="s">
        <v>863</v>
      </c>
      <c r="T16" s="613"/>
      <c r="U16" s="575"/>
      <c r="V16" s="614"/>
      <c r="W16" s="614" t="s">
        <v>864</v>
      </c>
      <c r="X16" s="614"/>
      <c r="Y16" s="615"/>
      <c r="Z16" s="575"/>
      <c r="AA16" s="616"/>
      <c r="AB16" s="575"/>
      <c r="AC16" s="613"/>
      <c r="AD16" s="613"/>
    </row>
    <row r="17" spans="1:30" s="224" customFormat="1" ht="13.5" customHeight="1">
      <c r="A17" s="225">
        <v>9</v>
      </c>
      <c r="B17" s="216" t="s">
        <v>2084</v>
      </c>
      <c r="C17" s="572"/>
      <c r="D17" s="628"/>
      <c r="E17" s="628"/>
      <c r="F17" s="628"/>
      <c r="G17" s="628"/>
      <c r="H17" s="626"/>
      <c r="I17" s="626"/>
      <c r="J17" s="626"/>
      <c r="K17" s="611" t="s">
        <v>1392</v>
      </c>
      <c r="L17" s="575"/>
      <c r="M17" s="575"/>
      <c r="N17" s="575"/>
      <c r="O17" s="575"/>
      <c r="P17" s="612"/>
      <c r="Q17" s="575" t="s">
        <v>820</v>
      </c>
      <c r="R17" s="613" t="s">
        <v>864</v>
      </c>
      <c r="S17" s="379" t="s">
        <v>1392</v>
      </c>
      <c r="T17" s="613"/>
      <c r="U17" s="575"/>
      <c r="V17" s="614"/>
      <c r="W17" s="614" t="s">
        <v>864</v>
      </c>
      <c r="X17" s="614"/>
      <c r="Y17" s="615"/>
      <c r="Z17" s="575"/>
      <c r="AA17" s="616"/>
      <c r="AB17" s="575"/>
      <c r="AC17" s="613"/>
      <c r="AD17" s="613"/>
    </row>
    <row r="18" spans="1:30" s="224" customFormat="1" ht="13.5" customHeight="1">
      <c r="A18" s="225">
        <v>10</v>
      </c>
      <c r="B18" s="217"/>
      <c r="C18" s="219" t="s">
        <v>1393</v>
      </c>
      <c r="D18" s="241"/>
      <c r="E18" s="241"/>
      <c r="F18" s="241"/>
      <c r="G18" s="241"/>
      <c r="H18" s="575" t="s">
        <v>2085</v>
      </c>
      <c r="I18" s="575" t="s">
        <v>2086</v>
      </c>
      <c r="J18" s="575"/>
      <c r="K18" s="611" t="s">
        <v>2087</v>
      </c>
      <c r="L18" s="575"/>
      <c r="M18" s="575"/>
      <c r="N18" s="575"/>
      <c r="O18" s="575"/>
      <c r="P18" s="612"/>
      <c r="Q18" s="575" t="s">
        <v>820</v>
      </c>
      <c r="R18" s="613"/>
      <c r="S18" s="611" t="s">
        <v>863</v>
      </c>
      <c r="T18" s="613"/>
      <c r="U18" s="575"/>
      <c r="V18" s="614"/>
      <c r="W18" s="614" t="s">
        <v>864</v>
      </c>
      <c r="X18" s="614"/>
      <c r="Y18" s="615"/>
      <c r="Z18" s="575"/>
      <c r="AA18" s="616"/>
      <c r="AB18" s="575"/>
      <c r="AC18" s="613"/>
      <c r="AD18" s="613"/>
    </row>
    <row r="19" spans="1:30" s="224" customFormat="1" ht="13.5" customHeight="1">
      <c r="A19" s="225">
        <v>11</v>
      </c>
      <c r="B19" s="217"/>
      <c r="C19" s="219" t="s">
        <v>2088</v>
      </c>
      <c r="D19" s="241"/>
      <c r="E19" s="241"/>
      <c r="F19" s="241"/>
      <c r="G19" s="241"/>
      <c r="H19" s="575"/>
      <c r="I19" s="575" t="s">
        <v>2089</v>
      </c>
      <c r="J19" s="575"/>
      <c r="K19" s="611" t="s">
        <v>2090</v>
      </c>
      <c r="L19" s="575"/>
      <c r="M19" s="575"/>
      <c r="N19" s="575"/>
      <c r="O19" s="575"/>
      <c r="P19" s="612"/>
      <c r="Q19" s="575" t="s">
        <v>817</v>
      </c>
      <c r="R19" s="613"/>
      <c r="S19" s="619" t="s">
        <v>863</v>
      </c>
      <c r="T19" s="613"/>
      <c r="U19" s="575"/>
      <c r="V19" s="614"/>
      <c r="W19" s="614" t="s">
        <v>864</v>
      </c>
      <c r="X19" s="614"/>
      <c r="Y19" s="615"/>
      <c r="Z19" s="575"/>
      <c r="AA19" s="616"/>
      <c r="AB19" s="575"/>
      <c r="AC19" s="613"/>
      <c r="AD19" s="613"/>
    </row>
    <row r="20" spans="1:30" s="224" customFormat="1" ht="13.5" customHeight="1">
      <c r="A20" s="225">
        <v>12</v>
      </c>
      <c r="B20" s="253"/>
      <c r="C20" s="219" t="s">
        <v>1091</v>
      </c>
      <c r="D20" s="221"/>
      <c r="E20" s="221"/>
      <c r="F20" s="221"/>
      <c r="G20" s="221"/>
      <c r="H20" s="575" t="s">
        <v>2091</v>
      </c>
      <c r="I20" s="575" t="s">
        <v>1121</v>
      </c>
      <c r="J20" s="575"/>
      <c r="K20" s="611" t="s">
        <v>1298</v>
      </c>
      <c r="L20" s="575"/>
      <c r="M20" s="575"/>
      <c r="N20" s="575"/>
      <c r="O20" s="575"/>
      <c r="P20" s="612"/>
      <c r="Q20" s="575" t="s">
        <v>817</v>
      </c>
      <c r="R20" s="613"/>
      <c r="S20" s="575" t="s">
        <v>863</v>
      </c>
      <c r="T20" s="613"/>
      <c r="U20" s="575"/>
      <c r="V20" s="614"/>
      <c r="W20" s="614" t="s">
        <v>864</v>
      </c>
      <c r="X20" s="614"/>
      <c r="Y20" s="615"/>
      <c r="Z20" s="575"/>
      <c r="AA20" s="616"/>
      <c r="AB20" s="575"/>
      <c r="AC20" s="613"/>
      <c r="AD20" s="613"/>
    </row>
    <row r="21" spans="1:30" s="224" customFormat="1" ht="13.5" customHeight="1">
      <c r="A21" s="225">
        <v>13</v>
      </c>
      <c r="B21" s="217"/>
      <c r="C21" s="219" t="s">
        <v>1299</v>
      </c>
      <c r="D21" s="241"/>
      <c r="E21" s="241"/>
      <c r="F21" s="241"/>
      <c r="G21" s="241"/>
      <c r="H21" s="575" t="s">
        <v>2092</v>
      </c>
      <c r="I21" s="611" t="s">
        <v>1301</v>
      </c>
      <c r="J21" s="611"/>
      <c r="K21" s="611" t="s">
        <v>1302</v>
      </c>
      <c r="L21" s="575"/>
      <c r="M21" s="575"/>
      <c r="N21" s="575"/>
      <c r="O21" s="575"/>
      <c r="P21" s="612"/>
      <c r="Q21" s="575" t="s">
        <v>817</v>
      </c>
      <c r="R21" s="613"/>
      <c r="S21" s="575" t="s">
        <v>863</v>
      </c>
      <c r="T21" s="613"/>
      <c r="U21" s="575"/>
      <c r="V21" s="614"/>
      <c r="W21" s="614" t="s">
        <v>864</v>
      </c>
      <c r="X21" s="614"/>
      <c r="Y21" s="615"/>
      <c r="Z21" s="575"/>
      <c r="AA21" s="616"/>
      <c r="AB21" s="575"/>
      <c r="AC21" s="613"/>
      <c r="AD21" s="613"/>
    </row>
    <row r="22" spans="1:30" s="224" customFormat="1" ht="13.5" customHeight="1">
      <c r="A22" s="225">
        <v>14</v>
      </c>
      <c r="B22" s="217"/>
      <c r="C22" s="219" t="s">
        <v>1464</v>
      </c>
      <c r="D22" s="241"/>
      <c r="E22" s="241"/>
      <c r="F22" s="241"/>
      <c r="G22" s="241"/>
      <c r="H22" s="575" t="s">
        <v>1465</v>
      </c>
      <c r="I22" s="575"/>
      <c r="J22" s="575"/>
      <c r="K22" s="611" t="s">
        <v>1466</v>
      </c>
      <c r="L22" s="575"/>
      <c r="M22" s="575"/>
      <c r="N22" s="575"/>
      <c r="O22" s="575"/>
      <c r="P22" s="612"/>
      <c r="Q22" s="575" t="s">
        <v>817</v>
      </c>
      <c r="R22" s="613"/>
      <c r="S22" s="575" t="s">
        <v>1467</v>
      </c>
      <c r="T22" s="613"/>
      <c r="U22" s="575"/>
      <c r="V22" s="614"/>
      <c r="W22" s="614" t="s">
        <v>864</v>
      </c>
      <c r="X22" s="614"/>
      <c r="Y22" s="615"/>
      <c r="Z22" s="575"/>
      <c r="AA22" s="616"/>
      <c r="AB22" s="575"/>
      <c r="AC22" s="613"/>
      <c r="AD22" s="613"/>
    </row>
    <row r="23" spans="1:30" s="224" customFormat="1" ht="13.5" customHeight="1">
      <c r="A23" s="225">
        <v>15</v>
      </c>
      <c r="B23" s="217"/>
      <c r="C23" s="219" t="s">
        <v>2093</v>
      </c>
      <c r="D23" s="241"/>
      <c r="E23" s="241"/>
      <c r="F23" s="241"/>
      <c r="G23" s="241"/>
      <c r="H23" s="575" t="s">
        <v>2094</v>
      </c>
      <c r="I23" s="611">
        <v>69</v>
      </c>
      <c r="J23" s="611"/>
      <c r="K23" s="611" t="s">
        <v>1495</v>
      </c>
      <c r="L23" s="575"/>
      <c r="M23" s="575"/>
      <c r="N23" s="575"/>
      <c r="O23" s="575"/>
      <c r="P23" s="612"/>
      <c r="Q23" s="575" t="s">
        <v>817</v>
      </c>
      <c r="R23" s="613"/>
      <c r="S23" s="619" t="s">
        <v>863</v>
      </c>
      <c r="T23" s="613"/>
      <c r="U23" s="575"/>
      <c r="V23" s="614"/>
      <c r="W23" s="614" t="s">
        <v>864</v>
      </c>
      <c r="X23" s="614"/>
      <c r="Y23" s="615"/>
      <c r="Z23" s="575"/>
      <c r="AA23" s="616"/>
      <c r="AB23" s="575"/>
      <c r="AC23" s="613"/>
      <c r="AD23" s="613"/>
    </row>
    <row r="24" spans="1:30" s="224" customFormat="1" ht="13.5" customHeight="1">
      <c r="A24" s="225">
        <v>16</v>
      </c>
      <c r="B24" s="217"/>
      <c r="C24" s="219" t="s">
        <v>2095</v>
      </c>
      <c r="D24" s="241"/>
      <c r="E24" s="241"/>
      <c r="F24" s="241"/>
      <c r="G24" s="241"/>
      <c r="H24" s="575"/>
      <c r="I24" s="611" t="s">
        <v>698</v>
      </c>
      <c r="J24" s="575"/>
      <c r="K24" s="611" t="s">
        <v>1470</v>
      </c>
      <c r="L24" s="575"/>
      <c r="M24" s="575"/>
      <c r="N24" s="575"/>
      <c r="O24" s="575"/>
      <c r="P24" s="612"/>
      <c r="Q24" s="575" t="s">
        <v>817</v>
      </c>
      <c r="R24" s="613"/>
      <c r="S24" s="619" t="s">
        <v>863</v>
      </c>
      <c r="T24" s="613"/>
      <c r="U24" s="575"/>
      <c r="V24" s="614"/>
      <c r="W24" s="614" t="s">
        <v>864</v>
      </c>
      <c r="X24" s="614"/>
      <c r="Y24" s="615"/>
      <c r="Z24" s="575"/>
      <c r="AA24" s="616"/>
      <c r="AB24" s="575"/>
      <c r="AC24" s="613"/>
      <c r="AD24" s="613"/>
    </row>
    <row r="25" spans="1:30" s="224" customFormat="1" ht="13.5" customHeight="1">
      <c r="A25" s="225">
        <v>17</v>
      </c>
      <c r="B25" s="217"/>
      <c r="C25" s="219" t="s">
        <v>2096</v>
      </c>
      <c r="D25" s="241"/>
      <c r="E25" s="241"/>
      <c r="F25" s="241"/>
      <c r="G25" s="241"/>
      <c r="H25" s="575" t="s">
        <v>2097</v>
      </c>
      <c r="I25" s="611" t="s">
        <v>1269</v>
      </c>
      <c r="J25" s="575"/>
      <c r="K25" s="611" t="s">
        <v>2098</v>
      </c>
      <c r="L25" s="575"/>
      <c r="M25" s="575"/>
      <c r="N25" s="575"/>
      <c r="O25" s="575"/>
      <c r="P25" s="612"/>
      <c r="Q25" s="575" t="s">
        <v>817</v>
      </c>
      <c r="R25" s="613"/>
      <c r="S25" s="619" t="s">
        <v>863</v>
      </c>
      <c r="T25" s="613"/>
      <c r="U25" s="575"/>
      <c r="V25" s="614" t="s">
        <v>864</v>
      </c>
      <c r="W25" s="614"/>
      <c r="X25" s="614"/>
      <c r="Y25" s="615"/>
      <c r="Z25" s="575"/>
      <c r="AA25" s="616"/>
      <c r="AB25" s="575"/>
      <c r="AC25" s="613"/>
      <c r="AD25" s="613"/>
    </row>
    <row r="26" spans="1:30" s="224" customFormat="1" ht="13.5" customHeight="1">
      <c r="A26" s="225">
        <v>18</v>
      </c>
      <c r="B26" s="216"/>
      <c r="C26" s="240" t="s">
        <v>2099</v>
      </c>
      <c r="D26" s="571"/>
      <c r="E26" s="571"/>
      <c r="F26" s="571"/>
      <c r="G26" s="571"/>
      <c r="H26" s="626"/>
      <c r="I26" s="627"/>
      <c r="J26" s="626"/>
      <c r="K26" s="611" t="s">
        <v>2100</v>
      </c>
      <c r="L26" s="575"/>
      <c r="M26" s="575"/>
      <c r="N26" s="575"/>
      <c r="O26" s="575"/>
      <c r="P26" s="612"/>
      <c r="Q26" s="575" t="s">
        <v>817</v>
      </c>
      <c r="R26" s="613" t="s">
        <v>864</v>
      </c>
      <c r="S26" s="379" t="s">
        <v>2100</v>
      </c>
      <c r="T26" s="613"/>
      <c r="U26" s="575"/>
      <c r="V26" s="614"/>
      <c r="W26" s="614" t="s">
        <v>864</v>
      </c>
      <c r="X26" s="614"/>
      <c r="Y26" s="615"/>
      <c r="Z26" s="575"/>
      <c r="AA26" s="616"/>
      <c r="AB26" s="575"/>
      <c r="AC26" s="613"/>
      <c r="AD26" s="613"/>
    </row>
    <row r="27" spans="1:30" s="224" customFormat="1" ht="13.5" customHeight="1">
      <c r="A27" s="225">
        <v>19</v>
      </c>
      <c r="B27" s="216"/>
      <c r="C27" s="610"/>
      <c r="D27" s="241" t="s">
        <v>2101</v>
      </c>
      <c r="E27" s="241"/>
      <c r="F27" s="241"/>
      <c r="G27" s="241"/>
      <c r="H27" s="575" t="s">
        <v>2102</v>
      </c>
      <c r="I27" s="611">
        <v>92300</v>
      </c>
      <c r="J27" s="575"/>
      <c r="K27" s="611" t="s">
        <v>1094</v>
      </c>
      <c r="L27" s="575"/>
      <c r="M27" s="575"/>
      <c r="N27" s="575"/>
      <c r="O27" s="575"/>
      <c r="P27" s="612"/>
      <c r="Q27" s="575" t="s">
        <v>820</v>
      </c>
      <c r="R27" s="613"/>
      <c r="S27" s="575" t="s">
        <v>863</v>
      </c>
      <c r="T27" s="613"/>
      <c r="U27" s="575"/>
      <c r="V27" s="614"/>
      <c r="W27" s="614" t="s">
        <v>864</v>
      </c>
      <c r="X27" s="614"/>
      <c r="Y27" s="615"/>
      <c r="Z27" s="575"/>
      <c r="AA27" s="616"/>
      <c r="AB27" s="575"/>
      <c r="AC27" s="613"/>
      <c r="AD27" s="613"/>
    </row>
    <row r="28" spans="1:30" s="224" customFormat="1" ht="13.5" customHeight="1">
      <c r="A28" s="225">
        <v>20</v>
      </c>
      <c r="B28" s="216"/>
      <c r="C28" s="610"/>
      <c r="D28" s="241" t="s">
        <v>388</v>
      </c>
      <c r="E28" s="241"/>
      <c r="F28" s="241"/>
      <c r="G28" s="241"/>
      <c r="H28" s="575" t="s">
        <v>1095</v>
      </c>
      <c r="I28" s="611" t="s">
        <v>2103</v>
      </c>
      <c r="J28" s="575"/>
      <c r="K28" s="611" t="s">
        <v>2104</v>
      </c>
      <c r="L28" s="575"/>
      <c r="M28" s="575"/>
      <c r="N28" s="575"/>
      <c r="O28" s="575"/>
      <c r="P28" s="612"/>
      <c r="Q28" s="575" t="s">
        <v>820</v>
      </c>
      <c r="R28" s="613"/>
      <c r="S28" s="575" t="s">
        <v>863</v>
      </c>
      <c r="T28" s="613"/>
      <c r="U28" s="575"/>
      <c r="V28" s="614"/>
      <c r="W28" s="614" t="s">
        <v>864</v>
      </c>
      <c r="X28" s="614"/>
      <c r="Y28" s="615"/>
      <c r="Z28" s="575"/>
      <c r="AA28" s="616"/>
      <c r="AB28" s="575"/>
      <c r="AC28" s="613"/>
      <c r="AD28" s="613"/>
    </row>
    <row r="29" spans="1:30" ht="15" customHeight="1">
      <c r="A29" s="225">
        <v>21</v>
      </c>
      <c r="B29" s="242" t="s">
        <v>2105</v>
      </c>
      <c r="C29" s="571"/>
      <c r="D29" s="571"/>
      <c r="E29" s="571"/>
      <c r="F29" s="571"/>
      <c r="G29" s="571"/>
      <c r="H29" s="626"/>
      <c r="I29" s="627"/>
      <c r="J29" s="627"/>
      <c r="K29" s="611" t="s">
        <v>1041</v>
      </c>
      <c r="L29" s="575"/>
      <c r="M29" s="575"/>
      <c r="N29" s="575"/>
      <c r="O29" s="575"/>
      <c r="P29" s="612"/>
      <c r="Q29" s="575" t="s">
        <v>820</v>
      </c>
      <c r="R29" s="613" t="s">
        <v>864</v>
      </c>
      <c r="S29" s="243" t="s">
        <v>1041</v>
      </c>
      <c r="T29" s="613"/>
      <c r="U29" s="575"/>
      <c r="V29" s="614"/>
      <c r="W29" s="614" t="s">
        <v>864</v>
      </c>
      <c r="X29" s="614"/>
      <c r="Y29" s="615"/>
      <c r="Z29" s="575"/>
      <c r="AA29" s="616"/>
      <c r="AB29" s="575"/>
      <c r="AC29" s="613"/>
      <c r="AD29" s="613"/>
    </row>
    <row r="30" spans="1:30" ht="15" customHeight="1">
      <c r="A30" s="225">
        <v>22</v>
      </c>
      <c r="B30" s="217"/>
      <c r="C30" s="216" t="s">
        <v>1068</v>
      </c>
      <c r="D30" s="571"/>
      <c r="E30" s="571"/>
      <c r="F30" s="571"/>
      <c r="G30" s="571"/>
      <c r="H30" s="626"/>
      <c r="I30" s="627"/>
      <c r="J30" s="626"/>
      <c r="K30" s="611" t="s">
        <v>1069</v>
      </c>
      <c r="L30" s="575"/>
      <c r="M30" s="575"/>
      <c r="N30" s="575"/>
      <c r="O30" s="575"/>
      <c r="P30" s="612"/>
      <c r="Q30" s="575" t="s">
        <v>817</v>
      </c>
      <c r="R30" s="613" t="s">
        <v>864</v>
      </c>
      <c r="S30" s="243" t="s">
        <v>1069</v>
      </c>
      <c r="T30" s="613"/>
      <c r="U30" s="575"/>
      <c r="V30" s="614"/>
      <c r="W30" s="614" t="s">
        <v>864</v>
      </c>
      <c r="X30" s="614"/>
      <c r="Y30" s="615"/>
      <c r="Z30" s="575"/>
      <c r="AA30" s="616"/>
      <c r="AB30" s="575"/>
      <c r="AC30" s="613"/>
      <c r="AD30" s="613"/>
    </row>
    <row r="31" spans="1:30" ht="15" customHeight="1">
      <c r="A31" s="225">
        <v>23</v>
      </c>
      <c r="B31" s="241"/>
      <c r="C31" s="217"/>
      <c r="D31" s="610" t="s">
        <v>1070</v>
      </c>
      <c r="E31" s="253"/>
      <c r="F31" s="241"/>
      <c r="G31" s="575"/>
      <c r="H31" s="575" t="s">
        <v>1071</v>
      </c>
      <c r="I31" s="611" t="s">
        <v>1072</v>
      </c>
      <c r="J31" s="575" t="s">
        <v>1073</v>
      </c>
      <c r="K31" s="611" t="s">
        <v>1074</v>
      </c>
      <c r="L31" s="575"/>
      <c r="M31" s="575"/>
      <c r="N31" s="575"/>
      <c r="O31" s="575"/>
      <c r="P31" s="612"/>
      <c r="Q31" s="575" t="s">
        <v>820</v>
      </c>
      <c r="R31" s="613"/>
      <c r="S31" s="575" t="s">
        <v>863</v>
      </c>
      <c r="T31" s="613"/>
      <c r="U31" s="575" t="s">
        <v>1075</v>
      </c>
      <c r="V31" s="614"/>
      <c r="W31" s="614" t="s">
        <v>864</v>
      </c>
      <c r="X31" s="614"/>
      <c r="Y31" s="615"/>
      <c r="Z31" s="575"/>
      <c r="AA31" s="616"/>
      <c r="AB31" s="575"/>
      <c r="AC31" s="613"/>
      <c r="AD31" s="613"/>
    </row>
    <row r="32" spans="1:30" ht="15" customHeight="1">
      <c r="A32" s="225">
        <v>24</v>
      </c>
      <c r="B32" s="241"/>
      <c r="C32" s="222"/>
      <c r="D32" s="610" t="s">
        <v>1076</v>
      </c>
      <c r="E32" s="221"/>
      <c r="F32" s="241"/>
      <c r="G32" s="575"/>
      <c r="H32" s="575" t="s">
        <v>1077</v>
      </c>
      <c r="I32" s="611" t="s">
        <v>1078</v>
      </c>
      <c r="J32" s="575"/>
      <c r="K32" s="611" t="s">
        <v>1079</v>
      </c>
      <c r="L32" s="575" t="s">
        <v>1080</v>
      </c>
      <c r="M32" s="575" t="s">
        <v>254</v>
      </c>
      <c r="N32" s="575"/>
      <c r="O32" s="575"/>
      <c r="P32" s="612"/>
      <c r="Q32" s="575" t="s">
        <v>817</v>
      </c>
      <c r="R32" s="613"/>
      <c r="S32" s="575" t="s">
        <v>863</v>
      </c>
      <c r="T32" s="613"/>
      <c r="U32" s="575"/>
      <c r="V32" s="614"/>
      <c r="W32" s="614" t="s">
        <v>864</v>
      </c>
      <c r="X32" s="614"/>
      <c r="Y32" s="615"/>
      <c r="Z32" s="575"/>
      <c r="AA32" s="616"/>
      <c r="AB32" s="575"/>
      <c r="AC32" s="613"/>
      <c r="AD32" s="613"/>
    </row>
    <row r="33" spans="1:30" ht="15" customHeight="1">
      <c r="A33" s="225">
        <v>25</v>
      </c>
      <c r="B33" s="217"/>
      <c r="C33" s="222"/>
      <c r="D33" s="240" t="s">
        <v>1081</v>
      </c>
      <c r="E33" s="573"/>
      <c r="F33" s="571"/>
      <c r="G33" s="571"/>
      <c r="H33" s="626"/>
      <c r="I33" s="627"/>
      <c r="J33" s="626"/>
      <c r="K33" s="611" t="s">
        <v>1082</v>
      </c>
      <c r="L33" s="575" t="s">
        <v>1083</v>
      </c>
      <c r="M33" s="575" t="s">
        <v>1084</v>
      </c>
      <c r="N33" s="575"/>
      <c r="O33" s="575"/>
      <c r="P33" s="612"/>
      <c r="Q33" s="575" t="s">
        <v>817</v>
      </c>
      <c r="R33" s="613" t="s">
        <v>864</v>
      </c>
      <c r="S33" s="243" t="s">
        <v>1082</v>
      </c>
      <c r="T33" s="613"/>
      <c r="U33" s="575"/>
      <c r="V33" s="614"/>
      <c r="W33" s="614" t="s">
        <v>864</v>
      </c>
      <c r="X33" s="614"/>
      <c r="Y33" s="615"/>
      <c r="Z33" s="575"/>
      <c r="AA33" s="616"/>
      <c r="AB33" s="575"/>
      <c r="AC33" s="613"/>
      <c r="AD33" s="613"/>
    </row>
    <row r="34" spans="1:30" ht="15" customHeight="1">
      <c r="A34" s="225">
        <v>26</v>
      </c>
      <c r="B34" s="217"/>
      <c r="C34" s="222"/>
      <c r="D34" s="241"/>
      <c r="E34" s="241" t="s">
        <v>1085</v>
      </c>
      <c r="F34" s="241"/>
      <c r="G34" s="241"/>
      <c r="H34" s="575" t="s">
        <v>1086</v>
      </c>
      <c r="I34" s="611" t="s">
        <v>1087</v>
      </c>
      <c r="J34" s="575"/>
      <c r="K34" s="611" t="s">
        <v>1074</v>
      </c>
      <c r="L34" s="575"/>
      <c r="M34" s="575"/>
      <c r="N34" s="575"/>
      <c r="O34" s="575"/>
      <c r="P34" s="612"/>
      <c r="Q34" s="575" t="s">
        <v>820</v>
      </c>
      <c r="R34" s="613"/>
      <c r="S34" s="575" t="s">
        <v>863</v>
      </c>
      <c r="T34" s="613"/>
      <c r="U34" s="575" t="s">
        <v>1088</v>
      </c>
      <c r="V34" s="614"/>
      <c r="W34" s="614" t="s">
        <v>864</v>
      </c>
      <c r="X34" s="614"/>
      <c r="Y34" s="615"/>
      <c r="Z34" s="575"/>
      <c r="AA34" s="616"/>
      <c r="AB34" s="575"/>
      <c r="AC34" s="613"/>
      <c r="AD34" s="613"/>
    </row>
    <row r="35" spans="1:30" ht="15" customHeight="1">
      <c r="A35" s="225">
        <v>27</v>
      </c>
      <c r="B35" s="217"/>
      <c r="C35" s="217"/>
      <c r="D35" s="241"/>
      <c r="E35" s="241" t="s">
        <v>1089</v>
      </c>
      <c r="F35" s="241"/>
      <c r="G35" s="241"/>
      <c r="H35" s="575"/>
      <c r="I35" s="611" t="s">
        <v>1090</v>
      </c>
      <c r="J35" s="575"/>
      <c r="K35" s="611" t="s">
        <v>958</v>
      </c>
      <c r="L35" s="575"/>
      <c r="M35" s="575"/>
      <c r="N35" s="575"/>
      <c r="O35" s="575"/>
      <c r="P35" s="612"/>
      <c r="Q35" s="575" t="s">
        <v>817</v>
      </c>
      <c r="R35" s="613"/>
      <c r="S35" s="575" t="s">
        <v>863</v>
      </c>
      <c r="T35" s="613"/>
      <c r="U35" s="575"/>
      <c r="V35" s="614"/>
      <c r="W35" s="614" t="s">
        <v>864</v>
      </c>
      <c r="X35" s="614"/>
      <c r="Y35" s="615"/>
      <c r="Z35" s="575"/>
      <c r="AA35" s="616"/>
      <c r="AB35" s="575"/>
      <c r="AC35" s="613"/>
      <c r="AD35" s="613"/>
    </row>
    <row r="36" spans="1:30" ht="15" customHeight="1">
      <c r="A36" s="225">
        <v>28</v>
      </c>
      <c r="B36" s="217"/>
      <c r="C36" s="217"/>
      <c r="D36" s="241"/>
      <c r="E36" s="241" t="s">
        <v>1091</v>
      </c>
      <c r="F36" s="241"/>
      <c r="G36" s="241"/>
      <c r="H36" s="575"/>
      <c r="I36" s="611" t="s">
        <v>1092</v>
      </c>
      <c r="J36" s="575"/>
      <c r="K36" s="611" t="s">
        <v>871</v>
      </c>
      <c r="L36" s="575"/>
      <c r="M36" s="575"/>
      <c r="N36" s="575"/>
      <c r="O36" s="575"/>
      <c r="P36" s="612"/>
      <c r="Q36" s="575" t="s">
        <v>817</v>
      </c>
      <c r="R36" s="613"/>
      <c r="S36" s="575" t="s">
        <v>863</v>
      </c>
      <c r="T36" s="613"/>
      <c r="U36" s="575"/>
      <c r="V36" s="614"/>
      <c r="W36" s="614" t="s">
        <v>864</v>
      </c>
      <c r="X36" s="614"/>
      <c r="Y36" s="615"/>
      <c r="Z36" s="575"/>
      <c r="AA36" s="616"/>
      <c r="AB36" s="575"/>
      <c r="AC36" s="613"/>
      <c r="AD36" s="613"/>
    </row>
    <row r="37" spans="1:30" ht="15" customHeight="1">
      <c r="A37" s="225">
        <v>29</v>
      </c>
      <c r="B37" s="217"/>
      <c r="C37" s="216" t="s">
        <v>1093</v>
      </c>
      <c r="D37" s="573"/>
      <c r="E37" s="573"/>
      <c r="F37" s="571"/>
      <c r="G37" s="571"/>
      <c r="H37" s="626"/>
      <c r="I37" s="627"/>
      <c r="J37" s="626"/>
      <c r="K37" s="611" t="s">
        <v>1094</v>
      </c>
      <c r="L37" s="575"/>
      <c r="M37" s="575"/>
      <c r="N37" s="575"/>
      <c r="O37" s="575"/>
      <c r="P37" s="612"/>
      <c r="Q37" s="575" t="s">
        <v>817</v>
      </c>
      <c r="R37" s="613" t="s">
        <v>864</v>
      </c>
      <c r="S37" s="243" t="s">
        <v>1094</v>
      </c>
      <c r="T37" s="613"/>
      <c r="U37" s="575"/>
      <c r="V37" s="614"/>
      <c r="W37" s="614" t="s">
        <v>864</v>
      </c>
      <c r="X37" s="614"/>
      <c r="Y37" s="615"/>
      <c r="Z37" s="575"/>
      <c r="AA37" s="616"/>
      <c r="AB37" s="575"/>
      <c r="AC37" s="613"/>
      <c r="AD37" s="613"/>
    </row>
    <row r="38" spans="1:30" ht="15" customHeight="1">
      <c r="A38" s="225">
        <v>30</v>
      </c>
      <c r="B38" s="217"/>
      <c r="C38" s="217"/>
      <c r="D38" s="241" t="s">
        <v>388</v>
      </c>
      <c r="E38" s="217"/>
      <c r="F38" s="241"/>
      <c r="G38" s="241"/>
      <c r="H38" s="575" t="s">
        <v>1095</v>
      </c>
      <c r="I38" s="611" t="s">
        <v>1096</v>
      </c>
      <c r="J38" s="575" t="s">
        <v>1094</v>
      </c>
      <c r="K38" s="611" t="s">
        <v>871</v>
      </c>
      <c r="L38" s="575" t="s">
        <v>1097</v>
      </c>
      <c r="M38" s="575" t="s">
        <v>388</v>
      </c>
      <c r="N38" s="575"/>
      <c r="O38" s="575"/>
      <c r="P38" s="252"/>
      <c r="Q38" s="575" t="s">
        <v>817</v>
      </c>
      <c r="R38" s="613"/>
      <c r="S38" s="575" t="s">
        <v>863</v>
      </c>
      <c r="T38" s="613"/>
      <c r="U38" s="575"/>
      <c r="V38" s="614"/>
      <c r="W38" s="614" t="s">
        <v>864</v>
      </c>
      <c r="X38" s="614"/>
      <c r="Y38" s="615"/>
      <c r="Z38" s="575"/>
      <c r="AA38" s="616"/>
      <c r="AB38" s="575"/>
      <c r="AC38" s="613"/>
      <c r="AD38" s="613"/>
    </row>
    <row r="39" spans="1:30" ht="15" customHeight="1">
      <c r="A39" s="225">
        <v>31</v>
      </c>
      <c r="B39" s="217"/>
      <c r="C39" s="217"/>
      <c r="D39" s="241" t="s">
        <v>392</v>
      </c>
      <c r="E39" s="217"/>
      <c r="F39" s="241"/>
      <c r="G39" s="241"/>
      <c r="H39" s="575" t="s">
        <v>1099</v>
      </c>
      <c r="I39" s="611">
        <v>59350</v>
      </c>
      <c r="J39" s="575" t="s">
        <v>1100</v>
      </c>
      <c r="K39" s="611" t="s">
        <v>1101</v>
      </c>
      <c r="L39" s="575" t="s">
        <v>1102</v>
      </c>
      <c r="M39" s="575" t="s">
        <v>392</v>
      </c>
      <c r="N39" s="575"/>
      <c r="O39" s="575"/>
      <c r="P39" s="252"/>
      <c r="Q39" s="575" t="s">
        <v>817</v>
      </c>
      <c r="R39" s="613"/>
      <c r="S39" s="575" t="s">
        <v>863</v>
      </c>
      <c r="T39" s="613"/>
      <c r="U39" s="575" t="s">
        <v>1103</v>
      </c>
      <c r="V39" s="614"/>
      <c r="W39" s="614" t="s">
        <v>864</v>
      </c>
      <c r="X39" s="614"/>
      <c r="Y39" s="615"/>
      <c r="Z39" s="575"/>
      <c r="AA39" s="616"/>
      <c r="AB39" s="575"/>
      <c r="AC39" s="613"/>
      <c r="AD39" s="613"/>
    </row>
    <row r="40" spans="1:30" ht="15" customHeight="1">
      <c r="A40" s="225">
        <v>32</v>
      </c>
      <c r="B40" s="217"/>
      <c r="C40" s="217"/>
      <c r="D40" s="241" t="s">
        <v>1104</v>
      </c>
      <c r="E40" s="241"/>
      <c r="F40" s="241"/>
      <c r="G40" s="241"/>
      <c r="H40" s="263" t="s">
        <v>1105</v>
      </c>
      <c r="I40" s="611" t="s">
        <v>1106</v>
      </c>
      <c r="J40" s="575"/>
      <c r="K40" s="611" t="s">
        <v>1107</v>
      </c>
      <c r="L40" s="575"/>
      <c r="M40" s="575"/>
      <c r="N40" s="575"/>
      <c r="O40" s="575"/>
      <c r="P40" s="612"/>
      <c r="Q40" s="575" t="s">
        <v>817</v>
      </c>
      <c r="R40" s="613"/>
      <c r="S40" s="575" t="s">
        <v>863</v>
      </c>
      <c r="T40" s="282"/>
      <c r="U40" s="575"/>
      <c r="V40" s="575"/>
      <c r="W40" s="614" t="s">
        <v>864</v>
      </c>
      <c r="X40" s="575"/>
      <c r="Y40" s="615"/>
      <c r="Z40" s="575"/>
      <c r="AA40" s="616"/>
      <c r="AB40" s="575"/>
      <c r="AC40" s="613"/>
      <c r="AD40" s="613"/>
    </row>
    <row r="41" spans="1:30" ht="15" customHeight="1">
      <c r="A41" s="225">
        <v>33</v>
      </c>
      <c r="B41" s="216" t="s">
        <v>2106</v>
      </c>
      <c r="C41" s="572"/>
      <c r="D41" s="571"/>
      <c r="E41" s="571"/>
      <c r="F41" s="571"/>
      <c r="G41" s="571"/>
      <c r="H41" s="626"/>
      <c r="I41" s="627"/>
      <c r="J41" s="626"/>
      <c r="K41" s="611" t="s">
        <v>2107</v>
      </c>
      <c r="L41" s="575"/>
      <c r="M41" s="575"/>
      <c r="N41" s="575"/>
      <c r="O41" s="575"/>
      <c r="P41" s="612"/>
      <c r="Q41" s="575" t="s">
        <v>820</v>
      </c>
      <c r="R41" s="613" t="s">
        <v>864</v>
      </c>
      <c r="S41" s="379" t="s">
        <v>2107</v>
      </c>
      <c r="T41" s="613"/>
      <c r="U41" s="575"/>
      <c r="V41" s="614" t="s">
        <v>2108</v>
      </c>
      <c r="W41" s="614" t="s">
        <v>864</v>
      </c>
      <c r="X41" s="614"/>
      <c r="Y41" s="615"/>
      <c r="Z41" s="575"/>
      <c r="AA41" s="616"/>
      <c r="AB41" s="575"/>
      <c r="AC41" s="613"/>
      <c r="AD41" s="613"/>
    </row>
    <row r="42" spans="1:30" ht="15" customHeight="1">
      <c r="A42" s="225">
        <v>34</v>
      </c>
      <c r="B42" s="217"/>
      <c r="C42" s="262" t="s">
        <v>2109</v>
      </c>
      <c r="D42" s="572"/>
      <c r="E42" s="571"/>
      <c r="F42" s="571"/>
      <c r="G42" s="571"/>
      <c r="H42" s="626"/>
      <c r="I42" s="627"/>
      <c r="J42" s="626"/>
      <c r="K42" s="611" t="s">
        <v>2110</v>
      </c>
      <c r="L42" s="575"/>
      <c r="M42" s="575"/>
      <c r="N42" s="575"/>
      <c r="O42" s="575"/>
      <c r="P42" s="612"/>
      <c r="Q42" s="575" t="s">
        <v>817</v>
      </c>
      <c r="R42" s="613" t="s">
        <v>864</v>
      </c>
      <c r="S42" s="379" t="s">
        <v>2111</v>
      </c>
      <c r="T42" s="613"/>
      <c r="U42" s="575"/>
      <c r="V42" s="614" t="s">
        <v>2108</v>
      </c>
      <c r="W42" s="614" t="s">
        <v>864</v>
      </c>
      <c r="X42" s="614"/>
      <c r="Y42" s="615"/>
      <c r="Z42" s="575"/>
      <c r="AA42" s="616"/>
      <c r="AB42" s="575"/>
      <c r="AC42" s="613"/>
      <c r="AD42" s="613"/>
    </row>
    <row r="43" spans="1:30" ht="15" customHeight="1">
      <c r="A43" s="225">
        <v>35</v>
      </c>
      <c r="B43" s="217"/>
      <c r="C43" s="219"/>
      <c r="D43" s="219" t="s">
        <v>1525</v>
      </c>
      <c r="E43" s="241"/>
      <c r="F43" s="241"/>
      <c r="G43" s="241"/>
      <c r="H43" s="575" t="s">
        <v>2112</v>
      </c>
      <c r="I43" s="611"/>
      <c r="J43" s="575"/>
      <c r="K43" s="611" t="s">
        <v>1527</v>
      </c>
      <c r="L43" s="575"/>
      <c r="M43" s="575"/>
      <c r="N43" s="575"/>
      <c r="O43" s="575"/>
      <c r="P43" s="612"/>
      <c r="Q43" s="575" t="s">
        <v>817</v>
      </c>
      <c r="R43" s="613"/>
      <c r="S43" s="575" t="s">
        <v>863</v>
      </c>
      <c r="T43" s="613"/>
      <c r="U43" s="575"/>
      <c r="V43" s="614" t="s">
        <v>2108</v>
      </c>
      <c r="W43" s="614" t="s">
        <v>864</v>
      </c>
      <c r="X43" s="614"/>
      <c r="Y43" s="615"/>
      <c r="Z43" s="575"/>
      <c r="AA43" s="616"/>
      <c r="AB43" s="575"/>
      <c r="AC43" s="613"/>
      <c r="AD43" s="613"/>
    </row>
    <row r="44" spans="1:30" ht="15" customHeight="1">
      <c r="A44" s="225">
        <v>36</v>
      </c>
      <c r="B44" s="217"/>
      <c r="C44" s="219"/>
      <c r="D44" s="219" t="s">
        <v>1528</v>
      </c>
      <c r="E44" s="241"/>
      <c r="F44" s="241"/>
      <c r="G44" s="241"/>
      <c r="H44" s="575" t="s">
        <v>1529</v>
      </c>
      <c r="I44" s="611"/>
      <c r="J44" s="575"/>
      <c r="K44" s="611" t="s">
        <v>1530</v>
      </c>
      <c r="L44" s="575"/>
      <c r="M44" s="575"/>
      <c r="N44" s="575"/>
      <c r="O44" s="575"/>
      <c r="P44" s="612"/>
      <c r="Q44" s="575" t="s">
        <v>817</v>
      </c>
      <c r="R44" s="613"/>
      <c r="S44" s="575" t="s">
        <v>863</v>
      </c>
      <c r="T44" s="613"/>
      <c r="U44" s="575"/>
      <c r="V44" s="614" t="s">
        <v>2108</v>
      </c>
      <c r="W44" s="614" t="s">
        <v>864</v>
      </c>
      <c r="X44" s="614"/>
      <c r="Y44" s="615"/>
      <c r="Z44" s="575"/>
      <c r="AA44" s="616"/>
      <c r="AB44" s="575"/>
      <c r="AC44" s="613"/>
      <c r="AD44" s="613"/>
    </row>
    <row r="45" spans="1:30" ht="15" customHeight="1">
      <c r="A45" s="225">
        <v>37</v>
      </c>
      <c r="B45" s="217"/>
      <c r="C45" s="219"/>
      <c r="D45" s="219" t="s">
        <v>1531</v>
      </c>
      <c r="E45" s="241"/>
      <c r="F45" s="241"/>
      <c r="G45" s="241"/>
      <c r="H45" s="575" t="s">
        <v>1532</v>
      </c>
      <c r="I45" s="611"/>
      <c r="J45" s="575"/>
      <c r="K45" s="611" t="s">
        <v>1533</v>
      </c>
      <c r="L45" s="575"/>
      <c r="M45" s="575"/>
      <c r="N45" s="575"/>
      <c r="O45" s="575"/>
      <c r="P45" s="612"/>
      <c r="Q45" s="575" t="s">
        <v>817</v>
      </c>
      <c r="R45" s="613"/>
      <c r="S45" s="575" t="s">
        <v>863</v>
      </c>
      <c r="T45" s="613"/>
      <c r="U45" s="575"/>
      <c r="V45" s="614" t="s">
        <v>2108</v>
      </c>
      <c r="W45" s="614" t="s">
        <v>864</v>
      </c>
      <c r="X45" s="614"/>
      <c r="Y45" s="615"/>
      <c r="Z45" s="575"/>
      <c r="AA45" s="616"/>
      <c r="AB45" s="575"/>
      <c r="AC45" s="613"/>
      <c r="AD45" s="613"/>
    </row>
    <row r="46" spans="1:30" ht="15" customHeight="1">
      <c r="A46" s="225">
        <v>38</v>
      </c>
      <c r="B46" s="217"/>
      <c r="C46" s="219"/>
      <c r="D46" s="241" t="s">
        <v>2113</v>
      </c>
      <c r="E46" s="241"/>
      <c r="F46" s="241"/>
      <c r="G46" s="241"/>
      <c r="H46" s="575" t="s">
        <v>2114</v>
      </c>
      <c r="I46" s="611"/>
      <c r="J46" s="575"/>
      <c r="K46" s="611" t="s">
        <v>2115</v>
      </c>
      <c r="L46" s="575"/>
      <c r="M46" s="575"/>
      <c r="N46" s="575"/>
      <c r="O46" s="575"/>
      <c r="P46" s="612"/>
      <c r="Q46" s="575" t="s">
        <v>817</v>
      </c>
      <c r="R46" s="613"/>
      <c r="S46" s="575" t="s">
        <v>863</v>
      </c>
      <c r="T46" s="613"/>
      <c r="U46" s="575"/>
      <c r="V46" s="614" t="s">
        <v>2108</v>
      </c>
      <c r="W46" s="614" t="s">
        <v>864</v>
      </c>
      <c r="X46" s="614"/>
      <c r="Y46" s="615"/>
      <c r="Z46" s="575"/>
      <c r="AA46" s="616"/>
      <c r="AB46" s="575"/>
      <c r="AC46" s="613"/>
      <c r="AD46" s="613"/>
    </row>
    <row r="47" spans="1:30" ht="15" customHeight="1">
      <c r="A47" s="225">
        <v>39</v>
      </c>
      <c r="B47" s="217"/>
      <c r="C47" s="262" t="s">
        <v>2116</v>
      </c>
      <c r="D47" s="571"/>
      <c r="E47" s="571"/>
      <c r="F47" s="571"/>
      <c r="G47" s="571"/>
      <c r="H47" s="626"/>
      <c r="I47" s="627"/>
      <c r="J47" s="626"/>
      <c r="K47" s="611" t="s">
        <v>2117</v>
      </c>
      <c r="L47" s="575"/>
      <c r="M47" s="575"/>
      <c r="N47" s="575"/>
      <c r="O47" s="575"/>
      <c r="P47" s="612"/>
      <c r="Q47" s="575" t="s">
        <v>817</v>
      </c>
      <c r="R47" s="613"/>
      <c r="S47" s="379" t="s">
        <v>2117</v>
      </c>
      <c r="T47" s="613"/>
      <c r="U47" s="575"/>
      <c r="V47" s="614" t="s">
        <v>864</v>
      </c>
      <c r="W47" s="614" t="s">
        <v>864</v>
      </c>
      <c r="X47" s="614"/>
      <c r="Y47" s="615"/>
      <c r="Z47" s="575"/>
      <c r="AA47" s="616"/>
      <c r="AB47" s="575"/>
      <c r="AC47" s="613"/>
      <c r="AD47" s="613"/>
    </row>
    <row r="48" spans="1:30" ht="15" customHeight="1">
      <c r="A48" s="225">
        <v>40</v>
      </c>
      <c r="B48" s="217"/>
      <c r="C48" s="219"/>
      <c r="D48" s="219" t="s">
        <v>2118</v>
      </c>
      <c r="E48" s="241"/>
      <c r="F48" s="241"/>
      <c r="G48" s="241"/>
      <c r="H48" s="575" t="s">
        <v>2119</v>
      </c>
      <c r="I48" s="611"/>
      <c r="J48" s="575"/>
      <c r="K48" s="611" t="s">
        <v>2120</v>
      </c>
      <c r="L48" s="575"/>
      <c r="M48" s="575"/>
      <c r="N48" s="575"/>
      <c r="O48" s="575"/>
      <c r="P48" s="612"/>
      <c r="Q48" s="575" t="s">
        <v>817</v>
      </c>
      <c r="R48" s="613"/>
      <c r="S48" s="575" t="s">
        <v>863</v>
      </c>
      <c r="T48" s="613"/>
      <c r="U48" s="575"/>
      <c r="V48" s="614" t="s">
        <v>864</v>
      </c>
      <c r="W48" s="614" t="s">
        <v>864</v>
      </c>
      <c r="X48" s="614"/>
      <c r="Y48" s="615"/>
      <c r="Z48" s="575"/>
      <c r="AA48" s="616"/>
      <c r="AB48" s="575"/>
      <c r="AC48" s="613"/>
      <c r="AD48" s="613"/>
    </row>
    <row r="49" spans="1:30" ht="15" customHeight="1">
      <c r="A49" s="225">
        <v>41</v>
      </c>
      <c r="B49" s="217"/>
      <c r="C49" s="219"/>
      <c r="D49" s="219" t="s">
        <v>2121</v>
      </c>
      <c r="E49" s="241"/>
      <c r="F49" s="241"/>
      <c r="G49" s="241"/>
      <c r="H49" s="575" t="s">
        <v>2122</v>
      </c>
      <c r="I49" s="611"/>
      <c r="J49" s="575"/>
      <c r="K49" s="611" t="s">
        <v>2123</v>
      </c>
      <c r="L49" s="575"/>
      <c r="M49" s="575"/>
      <c r="N49" s="575"/>
      <c r="O49" s="575"/>
      <c r="P49" s="612"/>
      <c r="Q49" s="575" t="s">
        <v>817</v>
      </c>
      <c r="R49" s="613"/>
      <c r="S49" s="575" t="s">
        <v>2124</v>
      </c>
      <c r="T49" s="613"/>
      <c r="U49" s="575"/>
      <c r="V49" s="614" t="s">
        <v>864</v>
      </c>
      <c r="W49" s="614" t="s">
        <v>864</v>
      </c>
      <c r="X49" s="614"/>
      <c r="Y49" s="615"/>
      <c r="Z49" s="575"/>
      <c r="AA49" s="616"/>
      <c r="AB49" s="575"/>
      <c r="AC49" s="613"/>
      <c r="AD49" s="613"/>
    </row>
    <row r="50" spans="1:30" ht="15" customHeight="1">
      <c r="A50" s="225">
        <v>42</v>
      </c>
      <c r="B50" s="217"/>
      <c r="C50" s="219"/>
      <c r="D50" s="219" t="s">
        <v>2125</v>
      </c>
      <c r="E50" s="241"/>
      <c r="F50" s="241"/>
      <c r="G50" s="241"/>
      <c r="H50" s="575"/>
      <c r="I50" s="611"/>
      <c r="J50" s="575"/>
      <c r="K50" s="611" t="s">
        <v>2126</v>
      </c>
      <c r="L50" s="575"/>
      <c r="M50" s="575"/>
      <c r="N50" s="575"/>
      <c r="O50" s="575"/>
      <c r="P50" s="612"/>
      <c r="Q50" s="575" t="s">
        <v>817</v>
      </c>
      <c r="R50" s="613"/>
      <c r="S50" s="575" t="s">
        <v>863</v>
      </c>
      <c r="T50" s="613"/>
      <c r="U50" s="575"/>
      <c r="V50" s="614" t="s">
        <v>864</v>
      </c>
      <c r="W50" s="614" t="s">
        <v>864</v>
      </c>
      <c r="X50" s="614"/>
      <c r="Y50" s="615"/>
      <c r="Z50" s="575"/>
      <c r="AA50" s="616"/>
      <c r="AB50" s="575"/>
      <c r="AC50" s="613"/>
      <c r="AD50" s="613"/>
    </row>
    <row r="51" spans="1:30" ht="15" customHeight="1">
      <c r="A51" s="225">
        <v>43</v>
      </c>
      <c r="B51" s="217"/>
      <c r="C51" s="219"/>
      <c r="D51" s="219" t="s">
        <v>2127</v>
      </c>
      <c r="E51" s="241"/>
      <c r="F51" s="241"/>
      <c r="G51" s="241"/>
      <c r="H51" s="575"/>
      <c r="I51" s="611"/>
      <c r="J51" s="575"/>
      <c r="K51" s="611" t="s">
        <v>2128</v>
      </c>
      <c r="L51" s="575"/>
      <c r="M51" s="575"/>
      <c r="N51" s="575"/>
      <c r="O51" s="575"/>
      <c r="P51" s="612"/>
      <c r="Q51" s="575" t="s">
        <v>817</v>
      </c>
      <c r="R51" s="613"/>
      <c r="S51" s="575" t="s">
        <v>863</v>
      </c>
      <c r="T51" s="613"/>
      <c r="U51" s="575"/>
      <c r="V51" s="614" t="s">
        <v>864</v>
      </c>
      <c r="W51" s="614" t="s">
        <v>864</v>
      </c>
      <c r="X51" s="614"/>
      <c r="Y51" s="615"/>
      <c r="Z51" s="575"/>
      <c r="AA51" s="616"/>
      <c r="AB51" s="575"/>
      <c r="AC51" s="613"/>
      <c r="AD51" s="613"/>
    </row>
    <row r="52" spans="1:30" ht="15" customHeight="1">
      <c r="A52" s="225">
        <v>44</v>
      </c>
      <c r="B52" s="217"/>
      <c r="C52" s="219"/>
      <c r="D52" s="219" t="s">
        <v>2129</v>
      </c>
      <c r="E52" s="241"/>
      <c r="F52" s="241"/>
      <c r="G52" s="241"/>
      <c r="H52" s="575" t="s">
        <v>2130</v>
      </c>
      <c r="I52" s="611"/>
      <c r="J52" s="575"/>
      <c r="K52" s="611" t="s">
        <v>2131</v>
      </c>
      <c r="L52" s="575"/>
      <c r="M52" s="575"/>
      <c r="N52" s="575"/>
      <c r="O52" s="575"/>
      <c r="P52" s="612"/>
      <c r="Q52" s="575" t="s">
        <v>817</v>
      </c>
      <c r="R52" s="613"/>
      <c r="S52" s="575" t="s">
        <v>863</v>
      </c>
      <c r="T52" s="613"/>
      <c r="U52" s="575"/>
      <c r="V52" s="614" t="s">
        <v>864</v>
      </c>
      <c r="W52" s="614" t="s">
        <v>864</v>
      </c>
      <c r="X52" s="614"/>
      <c r="Y52" s="615"/>
      <c r="Z52" s="575"/>
      <c r="AA52" s="616"/>
      <c r="AB52" s="575"/>
      <c r="AC52" s="613"/>
      <c r="AD52" s="613"/>
    </row>
    <row r="53" spans="1:30" ht="15" customHeight="1">
      <c r="A53" s="225">
        <v>45</v>
      </c>
      <c r="B53" s="217"/>
      <c r="C53" s="219"/>
      <c r="D53" s="219" t="s">
        <v>2132</v>
      </c>
      <c r="E53" s="241"/>
      <c r="F53" s="241"/>
      <c r="G53" s="241"/>
      <c r="H53" s="575"/>
      <c r="I53" s="611"/>
      <c r="J53" s="575"/>
      <c r="K53" s="611" t="s">
        <v>2133</v>
      </c>
      <c r="L53" s="575"/>
      <c r="M53" s="575"/>
      <c r="N53" s="575"/>
      <c r="O53" s="575"/>
      <c r="P53" s="612"/>
      <c r="Q53" s="575" t="s">
        <v>817</v>
      </c>
      <c r="R53" s="613"/>
      <c r="S53" s="575" t="s">
        <v>863</v>
      </c>
      <c r="T53" s="613"/>
      <c r="U53" s="575"/>
      <c r="V53" s="614" t="s">
        <v>864</v>
      </c>
      <c r="W53" s="614" t="s">
        <v>864</v>
      </c>
      <c r="X53" s="614"/>
      <c r="Y53" s="615"/>
      <c r="Z53" s="575"/>
      <c r="AA53" s="616"/>
      <c r="AB53" s="575"/>
      <c r="AC53" s="613"/>
      <c r="AD53" s="613"/>
    </row>
    <row r="54" spans="1:30" ht="15" customHeight="1">
      <c r="A54" s="225">
        <v>46</v>
      </c>
      <c r="B54" s="217"/>
      <c r="C54" s="219"/>
      <c r="D54" s="219" t="s">
        <v>2134</v>
      </c>
      <c r="E54" s="241"/>
      <c r="F54" s="241"/>
      <c r="G54" s="241"/>
      <c r="H54" s="575"/>
      <c r="I54" s="611"/>
      <c r="J54" s="575"/>
      <c r="K54" s="611" t="s">
        <v>2135</v>
      </c>
      <c r="L54" s="575"/>
      <c r="M54" s="575"/>
      <c r="N54" s="575"/>
      <c r="O54" s="575"/>
      <c r="P54" s="612"/>
      <c r="Q54" s="575" t="s">
        <v>817</v>
      </c>
      <c r="R54" s="613"/>
      <c r="S54" s="575" t="s">
        <v>2124</v>
      </c>
      <c r="T54" s="613"/>
      <c r="U54" s="575"/>
      <c r="V54" s="614" t="s">
        <v>864</v>
      </c>
      <c r="W54" s="614" t="s">
        <v>864</v>
      </c>
      <c r="X54" s="614"/>
      <c r="Y54" s="615"/>
      <c r="Z54" s="575"/>
      <c r="AA54" s="616"/>
      <c r="AB54" s="575"/>
      <c r="AC54" s="613"/>
      <c r="AD54" s="613"/>
    </row>
    <row r="55" spans="1:30" ht="15" customHeight="1">
      <c r="A55" s="225">
        <v>47</v>
      </c>
      <c r="B55" s="217"/>
      <c r="C55" s="219"/>
      <c r="D55" s="219" t="s">
        <v>2136</v>
      </c>
      <c r="E55" s="241"/>
      <c r="F55" s="241"/>
      <c r="G55" s="241"/>
      <c r="H55" s="575"/>
      <c r="I55" s="611"/>
      <c r="J55" s="575"/>
      <c r="K55" s="611" t="s">
        <v>2137</v>
      </c>
      <c r="L55" s="575"/>
      <c r="M55" s="575"/>
      <c r="N55" s="575"/>
      <c r="O55" s="575"/>
      <c r="P55" s="612"/>
      <c r="Q55" s="575" t="s">
        <v>817</v>
      </c>
      <c r="R55" s="613"/>
      <c r="S55" s="575" t="s">
        <v>863</v>
      </c>
      <c r="T55" s="613"/>
      <c r="U55" s="575"/>
      <c r="V55" s="614" t="s">
        <v>864</v>
      </c>
      <c r="W55" s="614" t="s">
        <v>864</v>
      </c>
      <c r="X55" s="614"/>
      <c r="Y55" s="615"/>
      <c r="Z55" s="575"/>
      <c r="AA55" s="616"/>
      <c r="AB55" s="575"/>
      <c r="AC55" s="613"/>
      <c r="AD55" s="613"/>
    </row>
    <row r="56" spans="1:30" ht="15" customHeight="1">
      <c r="A56" s="225">
        <v>48</v>
      </c>
      <c r="B56" s="217"/>
      <c r="C56" s="219"/>
      <c r="D56" s="219" t="s">
        <v>2138</v>
      </c>
      <c r="E56" s="241"/>
      <c r="F56" s="241"/>
      <c r="G56" s="241"/>
      <c r="H56" s="575"/>
      <c r="I56" s="611"/>
      <c r="J56" s="575"/>
      <c r="K56" s="611" t="s">
        <v>2139</v>
      </c>
      <c r="L56" s="575"/>
      <c r="M56" s="575"/>
      <c r="N56" s="575"/>
      <c r="O56" s="575"/>
      <c r="P56" s="612"/>
      <c r="Q56" s="575" t="s">
        <v>817</v>
      </c>
      <c r="R56" s="613"/>
      <c r="S56" s="575" t="s">
        <v>863</v>
      </c>
      <c r="T56" s="613"/>
      <c r="U56" s="575"/>
      <c r="V56" s="614" t="s">
        <v>864</v>
      </c>
      <c r="W56" s="614" t="s">
        <v>864</v>
      </c>
      <c r="X56" s="614"/>
      <c r="Y56" s="615"/>
      <c r="Z56" s="575"/>
      <c r="AA56" s="616"/>
      <c r="AB56" s="575"/>
      <c r="AC56" s="613"/>
      <c r="AD56" s="613"/>
    </row>
    <row r="57" spans="1:30" ht="15" customHeight="1">
      <c r="A57" s="225">
        <v>49</v>
      </c>
      <c r="B57" s="217"/>
      <c r="C57" s="262" t="s">
        <v>2140</v>
      </c>
      <c r="D57" s="571"/>
      <c r="E57" s="571"/>
      <c r="F57" s="571"/>
      <c r="G57" s="571"/>
      <c r="H57" s="626"/>
      <c r="I57" s="627"/>
      <c r="J57" s="626"/>
      <c r="K57" s="611" t="s">
        <v>2141</v>
      </c>
      <c r="L57" s="575"/>
      <c r="M57" s="575"/>
      <c r="N57" s="575"/>
      <c r="O57" s="575"/>
      <c r="P57" s="612"/>
      <c r="Q57" s="575" t="s">
        <v>817</v>
      </c>
      <c r="R57" s="613"/>
      <c r="S57" s="379" t="s">
        <v>2141</v>
      </c>
      <c r="T57" s="613"/>
      <c r="U57" s="575"/>
      <c r="V57" s="614"/>
      <c r="W57" s="614" t="s">
        <v>864</v>
      </c>
      <c r="X57" s="614"/>
      <c r="Y57" s="615"/>
      <c r="Z57" s="575"/>
      <c r="AA57" s="616"/>
      <c r="AB57" s="575"/>
      <c r="AC57" s="613"/>
      <c r="AD57" s="613"/>
    </row>
    <row r="58" spans="1:30" ht="15" customHeight="1">
      <c r="A58" s="225">
        <v>50</v>
      </c>
      <c r="B58" s="217"/>
      <c r="C58" s="219"/>
      <c r="D58" s="219" t="s">
        <v>2142</v>
      </c>
      <c r="E58" s="241"/>
      <c r="F58" s="241"/>
      <c r="G58" s="241"/>
      <c r="H58" s="575"/>
      <c r="I58" s="611"/>
      <c r="J58" s="575"/>
      <c r="K58" s="611" t="s">
        <v>2143</v>
      </c>
      <c r="L58" s="575"/>
      <c r="M58" s="575"/>
      <c r="N58" s="575"/>
      <c r="O58" s="575"/>
      <c r="P58" s="612"/>
      <c r="Q58" s="575" t="s">
        <v>817</v>
      </c>
      <c r="R58" s="613"/>
      <c r="S58" s="575" t="s">
        <v>2124</v>
      </c>
      <c r="T58" s="613"/>
      <c r="U58" s="575"/>
      <c r="V58" s="614"/>
      <c r="W58" s="614" t="s">
        <v>864</v>
      </c>
      <c r="X58" s="614"/>
      <c r="Y58" s="615"/>
      <c r="Z58" s="575"/>
      <c r="AA58" s="616"/>
      <c r="AB58" s="575"/>
      <c r="AC58" s="613"/>
      <c r="AD58" s="613"/>
    </row>
    <row r="59" spans="1:30" ht="15" customHeight="1">
      <c r="A59" s="225">
        <v>51</v>
      </c>
      <c r="B59" s="217"/>
      <c r="C59" s="219"/>
      <c r="D59" s="219" t="s">
        <v>2144</v>
      </c>
      <c r="E59" s="241"/>
      <c r="F59" s="241"/>
      <c r="G59" s="241"/>
      <c r="H59" s="575" t="s">
        <v>2145</v>
      </c>
      <c r="I59" s="611"/>
      <c r="J59" s="575"/>
      <c r="K59" s="611" t="s">
        <v>2146</v>
      </c>
      <c r="L59" s="575"/>
      <c r="M59" s="575"/>
      <c r="N59" s="575"/>
      <c r="O59" s="575"/>
      <c r="P59" s="612"/>
      <c r="Q59" s="575" t="s">
        <v>817</v>
      </c>
      <c r="R59" s="613"/>
      <c r="S59" s="575" t="s">
        <v>863</v>
      </c>
      <c r="T59" s="613"/>
      <c r="U59" s="575"/>
      <c r="V59" s="614"/>
      <c r="W59" s="614" t="s">
        <v>864</v>
      </c>
      <c r="X59" s="614"/>
      <c r="Y59" s="615"/>
      <c r="Z59" s="575"/>
      <c r="AA59" s="616"/>
      <c r="AB59" s="575"/>
      <c r="AC59" s="613"/>
      <c r="AD59" s="613"/>
    </row>
    <row r="60" spans="1:30" ht="15" customHeight="1">
      <c r="A60" s="225">
        <v>52</v>
      </c>
      <c r="B60" s="217"/>
      <c r="C60" s="219"/>
      <c r="D60" s="219" t="s">
        <v>2147</v>
      </c>
      <c r="E60" s="241"/>
      <c r="F60" s="241"/>
      <c r="G60" s="241"/>
      <c r="H60" s="575" t="s">
        <v>2148</v>
      </c>
      <c r="I60" s="611"/>
      <c r="J60" s="575"/>
      <c r="K60" s="611" t="s">
        <v>2149</v>
      </c>
      <c r="L60" s="575"/>
      <c r="M60" s="575"/>
      <c r="N60" s="575"/>
      <c r="O60" s="575"/>
      <c r="P60" s="612"/>
      <c r="Q60" s="575" t="s">
        <v>817</v>
      </c>
      <c r="R60" s="613"/>
      <c r="S60" s="575" t="s">
        <v>863</v>
      </c>
      <c r="T60" s="613"/>
      <c r="U60" s="575"/>
      <c r="V60" s="614"/>
      <c r="W60" s="614" t="s">
        <v>864</v>
      </c>
      <c r="X60" s="614"/>
      <c r="Y60" s="615"/>
      <c r="Z60" s="575"/>
      <c r="AA60" s="616"/>
      <c r="AB60" s="575"/>
      <c r="AC60" s="613"/>
      <c r="AD60" s="613"/>
    </row>
    <row r="61" spans="1:30" ht="15" customHeight="1">
      <c r="A61" s="225">
        <v>53</v>
      </c>
      <c r="B61" s="217"/>
      <c r="C61" s="219"/>
      <c r="D61" s="574" t="s">
        <v>2150</v>
      </c>
      <c r="E61" s="241"/>
      <c r="F61" s="241"/>
      <c r="G61" s="241"/>
      <c r="H61" s="575"/>
      <c r="I61" s="611"/>
      <c r="J61" s="575"/>
      <c r="K61" s="611" t="s">
        <v>2151</v>
      </c>
      <c r="L61" s="575"/>
      <c r="M61" s="575"/>
      <c r="N61" s="575"/>
      <c r="O61" s="575"/>
      <c r="P61" s="612"/>
      <c r="Q61" s="575" t="s">
        <v>817</v>
      </c>
      <c r="R61" s="613"/>
      <c r="S61" s="575" t="s">
        <v>2124</v>
      </c>
      <c r="T61" s="613"/>
      <c r="U61" s="575"/>
      <c r="V61" s="614"/>
      <c r="W61" s="614" t="s">
        <v>864</v>
      </c>
      <c r="X61" s="614"/>
      <c r="Y61" s="615"/>
      <c r="Z61" s="575"/>
      <c r="AA61" s="616"/>
      <c r="AB61" s="575"/>
      <c r="AC61" s="613"/>
      <c r="AD61" s="613"/>
    </row>
    <row r="62" spans="1:30" ht="15" customHeight="1">
      <c r="A62" s="225">
        <v>54</v>
      </c>
      <c r="B62" s="217"/>
      <c r="C62" s="219"/>
      <c r="D62" s="574" t="s">
        <v>2152</v>
      </c>
      <c r="E62" s="241"/>
      <c r="F62" s="241"/>
      <c r="G62" s="241"/>
      <c r="H62" s="575"/>
      <c r="I62" s="611"/>
      <c r="J62" s="575"/>
      <c r="K62" s="611" t="s">
        <v>2153</v>
      </c>
      <c r="L62" s="575"/>
      <c r="M62" s="575"/>
      <c r="N62" s="575"/>
      <c r="O62" s="575"/>
      <c r="P62" s="612"/>
      <c r="Q62" s="575" t="s">
        <v>817</v>
      </c>
      <c r="R62" s="613"/>
      <c r="S62" s="575" t="s">
        <v>2124</v>
      </c>
      <c r="T62" s="613"/>
      <c r="U62" s="575"/>
      <c r="V62" s="614"/>
      <c r="W62" s="614" t="s">
        <v>864</v>
      </c>
      <c r="X62" s="614"/>
      <c r="Y62" s="615"/>
      <c r="Z62" s="575"/>
      <c r="AA62" s="616"/>
      <c r="AB62" s="575"/>
      <c r="AC62" s="613"/>
      <c r="AD62" s="613"/>
    </row>
    <row r="63" spans="1:30" ht="15" customHeight="1">
      <c r="A63" s="225">
        <v>55</v>
      </c>
      <c r="B63" s="217"/>
      <c r="C63" s="219"/>
      <c r="D63" s="574" t="s">
        <v>2154</v>
      </c>
      <c r="E63" s="241"/>
      <c r="F63" s="241"/>
      <c r="G63" s="241"/>
      <c r="H63" s="575"/>
      <c r="I63" s="611"/>
      <c r="J63" s="575"/>
      <c r="K63" s="611" t="s">
        <v>2155</v>
      </c>
      <c r="L63" s="575"/>
      <c r="M63" s="575"/>
      <c r="N63" s="575"/>
      <c r="O63" s="575"/>
      <c r="P63" s="612"/>
      <c r="Q63" s="575" t="s">
        <v>817</v>
      </c>
      <c r="R63" s="613"/>
      <c r="S63" s="575" t="s">
        <v>2124</v>
      </c>
      <c r="T63" s="613"/>
      <c r="U63" s="575"/>
      <c r="V63" s="614"/>
      <c r="W63" s="614" t="s">
        <v>864</v>
      </c>
      <c r="X63" s="614"/>
      <c r="Y63" s="615"/>
      <c r="Z63" s="575"/>
      <c r="AA63" s="616"/>
      <c r="AB63" s="575"/>
      <c r="AC63" s="613"/>
      <c r="AD63" s="613"/>
    </row>
    <row r="64" spans="1:30" ht="15" customHeight="1">
      <c r="A64" s="225">
        <v>56</v>
      </c>
      <c r="B64" s="217"/>
      <c r="C64" s="219"/>
      <c r="D64" s="574" t="s">
        <v>2156</v>
      </c>
      <c r="E64" s="241"/>
      <c r="F64" s="241"/>
      <c r="G64" s="241"/>
      <c r="H64" s="575"/>
      <c r="I64" s="611"/>
      <c r="J64" s="575"/>
      <c r="K64" s="611" t="s">
        <v>2157</v>
      </c>
      <c r="L64" s="575"/>
      <c r="M64" s="575"/>
      <c r="N64" s="575"/>
      <c r="O64" s="575"/>
      <c r="P64" s="612"/>
      <c r="Q64" s="575" t="s">
        <v>817</v>
      </c>
      <c r="R64" s="613"/>
      <c r="S64" s="575" t="s">
        <v>2124</v>
      </c>
      <c r="T64" s="613"/>
      <c r="U64" s="575"/>
      <c r="V64" s="614"/>
      <c r="W64" s="614" t="s">
        <v>864</v>
      </c>
      <c r="X64" s="614"/>
      <c r="Y64" s="615"/>
      <c r="Z64" s="575"/>
      <c r="AA64" s="616"/>
      <c r="AB64" s="575"/>
      <c r="AC64" s="613"/>
      <c r="AD64" s="613"/>
    </row>
    <row r="65" spans="1:30" ht="15" customHeight="1">
      <c r="A65" s="225">
        <v>57</v>
      </c>
      <c r="B65" s="217"/>
      <c r="C65" s="219"/>
      <c r="D65" s="241"/>
      <c r="E65" s="241"/>
      <c r="F65" s="241"/>
      <c r="G65" s="241"/>
      <c r="H65" s="575"/>
      <c r="I65" s="611"/>
      <c r="J65" s="575"/>
      <c r="K65" s="611"/>
      <c r="L65" s="575"/>
      <c r="M65" s="575"/>
      <c r="N65" s="575"/>
      <c r="O65" s="575"/>
      <c r="P65" s="612"/>
      <c r="Q65" s="575"/>
      <c r="R65" s="613"/>
      <c r="S65" s="575"/>
      <c r="T65" s="613"/>
      <c r="U65" s="575"/>
      <c r="V65" s="614"/>
      <c r="W65" s="614" t="s">
        <v>864</v>
      </c>
      <c r="X65" s="614"/>
      <c r="Y65" s="615"/>
      <c r="Z65" s="575"/>
      <c r="AA65" s="616"/>
      <c r="AB65" s="575"/>
      <c r="AC65" s="613"/>
      <c r="AD65" s="613"/>
    </row>
    <row r="66" spans="1:30" ht="15" customHeight="1">
      <c r="A66" s="225">
        <v>58</v>
      </c>
      <c r="B66" s="217"/>
      <c r="C66" s="219"/>
      <c r="D66" s="574" t="s">
        <v>2158</v>
      </c>
      <c r="E66" s="241"/>
      <c r="F66" s="241"/>
      <c r="G66" s="241"/>
      <c r="H66" s="575"/>
      <c r="I66" s="611"/>
      <c r="J66" s="575"/>
      <c r="K66" s="611" t="s">
        <v>2159</v>
      </c>
      <c r="L66" s="575"/>
      <c r="M66" s="575"/>
      <c r="N66" s="575"/>
      <c r="O66" s="575"/>
      <c r="P66" s="612"/>
      <c r="Q66" s="575" t="s">
        <v>817</v>
      </c>
      <c r="R66" s="613"/>
      <c r="S66" s="575" t="s">
        <v>2124</v>
      </c>
      <c r="T66" s="613"/>
      <c r="U66" s="575"/>
      <c r="V66" s="614"/>
      <c r="W66" s="614" t="s">
        <v>864</v>
      </c>
      <c r="X66" s="614"/>
      <c r="Y66" s="615"/>
      <c r="Z66" s="575"/>
      <c r="AA66" s="616"/>
      <c r="AB66" s="575"/>
      <c r="AC66" s="613"/>
      <c r="AD66" s="613"/>
    </row>
    <row r="67" spans="1:30" ht="15" customHeight="1">
      <c r="A67" s="225">
        <v>59</v>
      </c>
      <c r="B67" s="217"/>
      <c r="C67" s="219"/>
      <c r="D67" s="574" t="s">
        <v>2160</v>
      </c>
      <c r="E67" s="241"/>
      <c r="F67" s="241"/>
      <c r="G67" s="241"/>
      <c r="H67" s="575"/>
      <c r="I67" s="611"/>
      <c r="J67" s="575"/>
      <c r="K67" s="611" t="s">
        <v>2161</v>
      </c>
      <c r="L67" s="575"/>
      <c r="M67" s="575"/>
      <c r="N67" s="575"/>
      <c r="O67" s="575"/>
      <c r="P67" s="612"/>
      <c r="Q67" s="575" t="s">
        <v>817</v>
      </c>
      <c r="R67" s="613"/>
      <c r="S67" s="575" t="s">
        <v>2124</v>
      </c>
      <c r="T67" s="613"/>
      <c r="U67" s="575"/>
      <c r="V67" s="614"/>
      <c r="W67" s="614" t="s">
        <v>864</v>
      </c>
      <c r="X67" s="614"/>
      <c r="Y67" s="615"/>
      <c r="Z67" s="575"/>
      <c r="AA67" s="616"/>
      <c r="AB67" s="575"/>
      <c r="AC67" s="613"/>
      <c r="AD67" s="613"/>
    </row>
    <row r="68" spans="1:30" ht="15" customHeight="1">
      <c r="A68" s="225">
        <v>60</v>
      </c>
      <c r="B68" s="217"/>
      <c r="C68" s="219"/>
      <c r="D68" s="574" t="s">
        <v>2162</v>
      </c>
      <c r="E68" s="241"/>
      <c r="F68" s="241"/>
      <c r="G68" s="241"/>
      <c r="H68" s="575"/>
      <c r="I68" s="611"/>
      <c r="J68" s="575"/>
      <c r="K68" s="611" t="s">
        <v>2163</v>
      </c>
      <c r="L68" s="575"/>
      <c r="M68" s="575"/>
      <c r="N68" s="575"/>
      <c r="O68" s="575"/>
      <c r="P68" s="612"/>
      <c r="Q68" s="575" t="s">
        <v>817</v>
      </c>
      <c r="R68" s="613"/>
      <c r="S68" s="575" t="s">
        <v>2124</v>
      </c>
      <c r="T68" s="613"/>
      <c r="U68" s="575"/>
      <c r="V68" s="614"/>
      <c r="W68" s="614" t="s">
        <v>864</v>
      </c>
      <c r="X68" s="614"/>
      <c r="Y68" s="615"/>
      <c r="Z68" s="575"/>
      <c r="AA68" s="616"/>
      <c r="AB68" s="575"/>
      <c r="AC68" s="613"/>
      <c r="AD68" s="613"/>
    </row>
    <row r="69" spans="1:30" ht="15" customHeight="1">
      <c r="A69" s="225">
        <v>61</v>
      </c>
      <c r="B69" s="216" t="s">
        <v>2164</v>
      </c>
      <c r="C69" s="572"/>
      <c r="D69" s="571"/>
      <c r="E69" s="571"/>
      <c r="F69" s="571"/>
      <c r="G69" s="571"/>
      <c r="H69" s="626"/>
      <c r="I69" s="627"/>
      <c r="J69" s="626"/>
      <c r="K69" s="611" t="s">
        <v>1879</v>
      </c>
      <c r="L69" s="575"/>
      <c r="M69" s="575"/>
      <c r="N69" s="575"/>
      <c r="O69" s="575"/>
      <c r="P69" s="612"/>
      <c r="Q69" s="575" t="s">
        <v>817</v>
      </c>
      <c r="R69" s="613"/>
      <c r="S69" s="575"/>
      <c r="T69" s="613"/>
      <c r="U69" s="575"/>
      <c r="V69" s="614"/>
      <c r="W69" s="614" t="s">
        <v>864</v>
      </c>
      <c r="X69" s="614"/>
      <c r="Y69" s="615"/>
      <c r="Z69" s="575"/>
      <c r="AA69" s="616"/>
      <c r="AB69" s="575"/>
      <c r="AC69" s="613"/>
      <c r="AD69" s="613"/>
    </row>
    <row r="70" spans="1:30" ht="15" customHeight="1">
      <c r="A70" s="225">
        <v>62</v>
      </c>
      <c r="B70" s="217"/>
      <c r="C70" s="219" t="s">
        <v>2165</v>
      </c>
      <c r="D70" s="241"/>
      <c r="E70" s="241"/>
      <c r="F70" s="241"/>
      <c r="G70" s="241"/>
      <c r="H70" s="575" t="s">
        <v>2166</v>
      </c>
      <c r="I70" s="611"/>
      <c r="J70" s="575"/>
      <c r="K70" s="611" t="s">
        <v>2167</v>
      </c>
      <c r="L70" s="575"/>
      <c r="M70" s="575"/>
      <c r="N70" s="575"/>
      <c r="O70" s="575"/>
      <c r="P70" s="612"/>
      <c r="Q70" s="575" t="s">
        <v>817</v>
      </c>
      <c r="R70" s="613"/>
      <c r="S70" s="575"/>
      <c r="T70" s="613"/>
      <c r="U70" s="575"/>
      <c r="V70" s="614"/>
      <c r="W70" s="614" t="s">
        <v>864</v>
      </c>
      <c r="X70" s="614"/>
      <c r="Y70" s="615"/>
      <c r="Z70" s="575"/>
      <c r="AA70" s="616"/>
      <c r="AB70" s="575"/>
      <c r="AC70" s="613"/>
      <c r="AD70" s="613"/>
    </row>
    <row r="71" spans="1:30" ht="15" customHeight="1">
      <c r="A71" s="225">
        <v>63</v>
      </c>
      <c r="B71" s="217"/>
      <c r="C71" s="219" t="s">
        <v>2168</v>
      </c>
      <c r="D71" s="241"/>
      <c r="E71" s="241"/>
      <c r="F71" s="241"/>
      <c r="G71" s="241"/>
      <c r="H71" s="575" t="s">
        <v>2169</v>
      </c>
      <c r="I71" s="611"/>
      <c r="J71" s="575"/>
      <c r="K71" s="611" t="s">
        <v>2128</v>
      </c>
      <c r="L71" s="575"/>
      <c r="M71" s="575"/>
      <c r="N71" s="575"/>
      <c r="O71" s="575"/>
      <c r="P71" s="612"/>
      <c r="Q71" s="575" t="s">
        <v>817</v>
      </c>
      <c r="R71" s="613"/>
      <c r="S71" s="575"/>
      <c r="T71" s="613"/>
      <c r="U71" s="575"/>
      <c r="V71" s="614"/>
      <c r="W71" s="614" t="s">
        <v>864</v>
      </c>
      <c r="X71" s="614"/>
      <c r="Y71" s="615"/>
      <c r="Z71" s="575"/>
      <c r="AA71" s="616"/>
      <c r="AB71" s="575"/>
      <c r="AC71" s="613"/>
      <c r="AD71" s="613"/>
    </row>
    <row r="72" spans="1:30" ht="15" customHeight="1">
      <c r="A72" s="225">
        <v>64</v>
      </c>
      <c r="B72" s="217"/>
      <c r="C72" s="219" t="s">
        <v>2170</v>
      </c>
      <c r="D72" s="241"/>
      <c r="E72" s="241"/>
      <c r="F72" s="241"/>
      <c r="G72" s="241"/>
      <c r="H72" s="575"/>
      <c r="I72" s="611"/>
      <c r="J72" s="575"/>
      <c r="K72" s="611" t="s">
        <v>2171</v>
      </c>
      <c r="L72" s="575"/>
      <c r="M72" s="575"/>
      <c r="N72" s="575"/>
      <c r="O72" s="575"/>
      <c r="P72" s="612"/>
      <c r="Q72" s="575" t="s">
        <v>817</v>
      </c>
      <c r="R72" s="613"/>
      <c r="S72" s="575" t="s">
        <v>2124</v>
      </c>
      <c r="T72" s="613"/>
      <c r="U72" s="575"/>
      <c r="V72" s="614"/>
      <c r="W72" s="614" t="s">
        <v>864</v>
      </c>
      <c r="X72" s="614"/>
      <c r="Y72" s="615"/>
      <c r="Z72" s="575"/>
      <c r="AA72" s="616"/>
      <c r="AB72" s="575"/>
      <c r="AC72" s="613"/>
      <c r="AD72" s="613"/>
    </row>
    <row r="73" spans="1:30" ht="15" customHeight="1">
      <c r="A73" s="225">
        <v>65</v>
      </c>
      <c r="B73" s="217"/>
      <c r="C73" s="219" t="s">
        <v>2172</v>
      </c>
      <c r="D73" s="241"/>
      <c r="E73" s="241"/>
      <c r="F73" s="241"/>
      <c r="G73" s="241"/>
      <c r="H73" s="575"/>
      <c r="I73" s="611"/>
      <c r="J73" s="575"/>
      <c r="K73" s="611"/>
      <c r="L73" s="575"/>
      <c r="M73" s="575"/>
      <c r="N73" s="575"/>
      <c r="O73" s="575"/>
      <c r="P73" s="612"/>
      <c r="Q73" s="575" t="s">
        <v>817</v>
      </c>
      <c r="R73" s="613"/>
      <c r="S73" s="575" t="s">
        <v>2124</v>
      </c>
      <c r="T73" s="613"/>
      <c r="U73" s="575"/>
      <c r="V73" s="614"/>
      <c r="W73" s="614" t="s">
        <v>864</v>
      </c>
      <c r="X73" s="614"/>
      <c r="Y73" s="615"/>
      <c r="Z73" s="575"/>
      <c r="AA73" s="616"/>
      <c r="AB73" s="575"/>
      <c r="AC73" s="613"/>
      <c r="AD73" s="613"/>
    </row>
    <row r="74" spans="1:30" ht="15" customHeight="1">
      <c r="A74" s="225">
        <v>66</v>
      </c>
      <c r="B74" s="217"/>
      <c r="C74" s="219" t="s">
        <v>2173</v>
      </c>
      <c r="D74" s="241"/>
      <c r="E74" s="241"/>
      <c r="F74" s="241"/>
      <c r="G74" s="241"/>
      <c r="H74" s="575"/>
      <c r="I74" s="611"/>
      <c r="J74" s="575"/>
      <c r="K74" s="611" t="s">
        <v>2174</v>
      </c>
      <c r="L74" s="575"/>
      <c r="M74" s="575"/>
      <c r="N74" s="575"/>
      <c r="O74" s="575"/>
      <c r="P74" s="612"/>
      <c r="Q74" s="575" t="s">
        <v>817</v>
      </c>
      <c r="R74" s="613"/>
      <c r="S74" s="575" t="s">
        <v>2124</v>
      </c>
      <c r="T74" s="613"/>
      <c r="U74" s="575"/>
      <c r="V74" s="614"/>
      <c r="W74" s="614" t="s">
        <v>864</v>
      </c>
      <c r="X74" s="614"/>
      <c r="Y74" s="615"/>
      <c r="Z74" s="575"/>
      <c r="AA74" s="616"/>
      <c r="AB74" s="575"/>
      <c r="AC74" s="613"/>
      <c r="AD74" s="613"/>
    </row>
    <row r="75" spans="1:30" ht="15" customHeight="1">
      <c r="A75" s="225">
        <v>67</v>
      </c>
      <c r="B75" s="217"/>
      <c r="C75" s="219" t="s">
        <v>2175</v>
      </c>
      <c r="D75" s="241"/>
      <c r="E75" s="241"/>
      <c r="F75" s="241"/>
      <c r="G75" s="241"/>
      <c r="H75" s="575"/>
      <c r="I75" s="611"/>
      <c r="J75" s="575"/>
      <c r="K75" s="611" t="s">
        <v>2176</v>
      </c>
      <c r="L75" s="575"/>
      <c r="M75" s="575"/>
      <c r="N75" s="575"/>
      <c r="O75" s="575"/>
      <c r="P75" s="612"/>
      <c r="Q75" s="575" t="s">
        <v>817</v>
      </c>
      <c r="R75" s="613"/>
      <c r="S75" s="575" t="s">
        <v>2124</v>
      </c>
      <c r="T75" s="613"/>
      <c r="U75" s="575"/>
      <c r="V75" s="614"/>
      <c r="W75" s="614" t="s">
        <v>864</v>
      </c>
      <c r="X75" s="614"/>
      <c r="Y75" s="615"/>
      <c r="Z75" s="575"/>
      <c r="AA75" s="616"/>
      <c r="AB75" s="575"/>
      <c r="AC75" s="613"/>
      <c r="AD75" s="613"/>
    </row>
    <row r="76" spans="1:30" ht="15" customHeight="1">
      <c r="A76" s="225">
        <v>68</v>
      </c>
      <c r="B76" s="217"/>
      <c r="C76" s="569" t="s">
        <v>2177</v>
      </c>
      <c r="D76" s="241"/>
      <c r="E76" s="241"/>
      <c r="F76" s="241"/>
      <c r="G76" s="241"/>
      <c r="H76" s="575" t="s">
        <v>2178</v>
      </c>
      <c r="I76" s="611"/>
      <c r="J76" s="575"/>
      <c r="K76" s="611"/>
      <c r="L76" s="575"/>
      <c r="M76" s="575"/>
      <c r="N76" s="575"/>
      <c r="O76" s="575"/>
      <c r="P76" s="612"/>
      <c r="Q76" s="575" t="s">
        <v>817</v>
      </c>
      <c r="R76" s="613"/>
      <c r="S76" s="575" t="s">
        <v>2124</v>
      </c>
      <c r="T76" s="613"/>
      <c r="U76" s="575"/>
      <c r="V76" s="614"/>
      <c r="W76" s="614" t="s">
        <v>864</v>
      </c>
      <c r="X76" s="614"/>
      <c r="Y76" s="615"/>
      <c r="Z76" s="575"/>
      <c r="AA76" s="616"/>
      <c r="AB76" s="575"/>
      <c r="AC76" s="613"/>
      <c r="AD76" s="613"/>
    </row>
    <row r="77" spans="1:30" ht="15" customHeight="1">
      <c r="A77" s="225">
        <v>69</v>
      </c>
      <c r="B77" s="217"/>
      <c r="C77" s="569" t="s">
        <v>2179</v>
      </c>
      <c r="D77" s="241"/>
      <c r="E77" s="241"/>
      <c r="F77" s="241"/>
      <c r="G77" s="241"/>
      <c r="H77" s="575" t="s">
        <v>2180</v>
      </c>
      <c r="I77" s="611"/>
      <c r="J77" s="575"/>
      <c r="K77" s="611"/>
      <c r="L77" s="575"/>
      <c r="M77" s="575"/>
      <c r="N77" s="575"/>
      <c r="O77" s="575"/>
      <c r="P77" s="612"/>
      <c r="Q77" s="575" t="s">
        <v>817</v>
      </c>
      <c r="R77" s="613"/>
      <c r="S77" s="575" t="s">
        <v>2124</v>
      </c>
      <c r="T77" s="613"/>
      <c r="U77" s="575"/>
      <c r="V77" s="614"/>
      <c r="W77" s="614" t="s">
        <v>864</v>
      </c>
      <c r="X77" s="614"/>
      <c r="Y77" s="615"/>
      <c r="Z77" s="575"/>
      <c r="AA77" s="616"/>
      <c r="AB77" s="575"/>
      <c r="AC77" s="613"/>
      <c r="AD77" s="613"/>
    </row>
    <row r="78" spans="1:30" ht="15" customHeight="1">
      <c r="A78" s="225">
        <v>70</v>
      </c>
      <c r="B78" s="217"/>
      <c r="C78" s="569" t="s">
        <v>2181</v>
      </c>
      <c r="D78" s="241"/>
      <c r="E78" s="241"/>
      <c r="F78" s="241"/>
      <c r="G78" s="241"/>
      <c r="H78" s="263" t="s">
        <v>2182</v>
      </c>
      <c r="I78" s="611"/>
      <c r="J78" s="575"/>
      <c r="K78" s="611"/>
      <c r="L78" s="575"/>
      <c r="M78" s="575"/>
      <c r="N78" s="575"/>
      <c r="O78" s="575"/>
      <c r="P78" s="612"/>
      <c r="Q78" s="575" t="s">
        <v>817</v>
      </c>
      <c r="R78" s="613"/>
      <c r="S78" s="575" t="s">
        <v>2124</v>
      </c>
      <c r="T78" s="613"/>
      <c r="U78" s="575"/>
      <c r="V78" s="614"/>
      <c r="W78" s="614" t="s">
        <v>864</v>
      </c>
      <c r="X78" s="614"/>
      <c r="Y78" s="615"/>
      <c r="Z78" s="575"/>
      <c r="AA78" s="616"/>
      <c r="AB78" s="575"/>
      <c r="AC78" s="613"/>
      <c r="AD78" s="613"/>
    </row>
    <row r="79" spans="1:30" ht="15" customHeight="1">
      <c r="A79" s="225">
        <v>71</v>
      </c>
      <c r="B79" s="217"/>
      <c r="C79" s="569" t="s">
        <v>2183</v>
      </c>
      <c r="D79" s="241"/>
      <c r="E79" s="241"/>
      <c r="F79" s="241"/>
      <c r="G79" s="241"/>
      <c r="H79" s="575" t="s">
        <v>2184</v>
      </c>
      <c r="I79" s="611"/>
      <c r="J79" s="575"/>
      <c r="K79" s="611"/>
      <c r="L79" s="575"/>
      <c r="M79" s="575"/>
      <c r="N79" s="575"/>
      <c r="O79" s="575"/>
      <c r="P79" s="612"/>
      <c r="Q79" s="575" t="s">
        <v>817</v>
      </c>
      <c r="R79" s="613"/>
      <c r="S79" s="575" t="s">
        <v>2124</v>
      </c>
      <c r="T79" s="613"/>
      <c r="U79" s="575"/>
      <c r="V79" s="614"/>
      <c r="W79" s="614" t="s">
        <v>864</v>
      </c>
      <c r="X79" s="614"/>
      <c r="Y79" s="615"/>
      <c r="Z79" s="575"/>
      <c r="AA79" s="616"/>
      <c r="AB79" s="575"/>
      <c r="AC79" s="613"/>
      <c r="AD79" s="613"/>
    </row>
    <row r="80" spans="1:30" ht="15" customHeight="1">
      <c r="A80" s="225">
        <v>72</v>
      </c>
      <c r="B80" s="217"/>
      <c r="C80" s="569" t="s">
        <v>2185</v>
      </c>
      <c r="D80" s="241"/>
      <c r="E80" s="241"/>
      <c r="F80" s="241"/>
      <c r="G80" s="241"/>
      <c r="H80" s="263" t="s">
        <v>2186</v>
      </c>
      <c r="I80" s="611"/>
      <c r="J80" s="575"/>
      <c r="K80" s="611"/>
      <c r="L80" s="575"/>
      <c r="M80" s="575"/>
      <c r="N80" s="575"/>
      <c r="O80" s="575"/>
      <c r="P80" s="612"/>
      <c r="Q80" s="575" t="s">
        <v>817</v>
      </c>
      <c r="R80" s="613"/>
      <c r="S80" s="575" t="s">
        <v>2124</v>
      </c>
      <c r="T80" s="613"/>
      <c r="U80" s="575"/>
      <c r="V80" s="614"/>
      <c r="W80" s="614" t="s">
        <v>864</v>
      </c>
      <c r="X80" s="614"/>
      <c r="Y80" s="615"/>
      <c r="Z80" s="575"/>
      <c r="AA80" s="616"/>
      <c r="AB80" s="575"/>
      <c r="AC80" s="613"/>
      <c r="AD80" s="613"/>
    </row>
    <row r="81" spans="1:30" ht="15" customHeight="1">
      <c r="A81" s="225">
        <v>73</v>
      </c>
      <c r="B81" s="217"/>
      <c r="C81" s="569" t="s">
        <v>2187</v>
      </c>
      <c r="D81" s="241"/>
      <c r="E81" s="241"/>
      <c r="F81" s="241"/>
      <c r="G81" s="241"/>
      <c r="H81" s="575" t="s">
        <v>2188</v>
      </c>
      <c r="I81" s="611"/>
      <c r="J81" s="575"/>
      <c r="K81" s="611"/>
      <c r="L81" s="575"/>
      <c r="M81" s="575"/>
      <c r="N81" s="575"/>
      <c r="O81" s="575"/>
      <c r="P81" s="612"/>
      <c r="Q81" s="575" t="s">
        <v>817</v>
      </c>
      <c r="R81" s="613"/>
      <c r="S81" s="575" t="s">
        <v>2124</v>
      </c>
      <c r="T81" s="613"/>
      <c r="U81" s="575"/>
      <c r="V81" s="614"/>
      <c r="W81" s="614" t="s">
        <v>864</v>
      </c>
      <c r="X81" s="614"/>
      <c r="Y81" s="615"/>
      <c r="Z81" s="575"/>
      <c r="AA81" s="616"/>
      <c r="AB81" s="575"/>
      <c r="AC81" s="613"/>
      <c r="AD81" s="613"/>
    </row>
    <row r="82" spans="1:30" ht="15" customHeight="1">
      <c r="A82" s="225">
        <v>74</v>
      </c>
      <c r="B82" s="217"/>
      <c r="C82" s="569" t="s">
        <v>2189</v>
      </c>
      <c r="D82" s="241"/>
      <c r="E82" s="241"/>
      <c r="F82" s="241"/>
      <c r="G82" s="241"/>
      <c r="H82" s="575" t="s">
        <v>2190</v>
      </c>
      <c r="I82" s="611"/>
      <c r="J82" s="575"/>
      <c r="K82" s="611"/>
      <c r="L82" s="575"/>
      <c r="M82" s="575"/>
      <c r="N82" s="575"/>
      <c r="O82" s="575"/>
      <c r="P82" s="612"/>
      <c r="Q82" s="575" t="s">
        <v>817</v>
      </c>
      <c r="R82" s="613"/>
      <c r="S82" s="575" t="s">
        <v>2124</v>
      </c>
      <c r="T82" s="613"/>
      <c r="U82" s="575"/>
      <c r="V82" s="614"/>
      <c r="W82" s="614" t="s">
        <v>864</v>
      </c>
      <c r="X82" s="614"/>
      <c r="Y82" s="615"/>
      <c r="Z82" s="575"/>
      <c r="AA82" s="616"/>
      <c r="AB82" s="575"/>
      <c r="AC82" s="613"/>
      <c r="AD82" s="613"/>
    </row>
    <row r="83" spans="1:30" ht="15" customHeight="1">
      <c r="A83" s="225">
        <v>75</v>
      </c>
      <c r="B83" s="216" t="s">
        <v>2191</v>
      </c>
      <c r="C83" s="572"/>
      <c r="D83" s="571"/>
      <c r="E83" s="571"/>
      <c r="F83" s="571"/>
      <c r="G83" s="571"/>
      <c r="H83" s="626"/>
      <c r="I83" s="627"/>
      <c r="J83" s="626"/>
      <c r="K83" s="611" t="s">
        <v>1550</v>
      </c>
      <c r="L83" s="575"/>
      <c r="M83" s="575"/>
      <c r="N83" s="575"/>
      <c r="O83" s="575"/>
      <c r="P83" s="612"/>
      <c r="Q83" s="575"/>
      <c r="R83" s="613"/>
      <c r="S83" s="575"/>
      <c r="T83" s="613"/>
      <c r="U83" s="575"/>
      <c r="V83" s="614"/>
      <c r="W83" s="614"/>
      <c r="X83" s="629"/>
      <c r="Y83" s="615"/>
      <c r="Z83" s="575"/>
      <c r="AA83" s="616"/>
      <c r="AB83" s="575"/>
      <c r="AC83" s="613"/>
      <c r="AD83" s="613"/>
    </row>
    <row r="84" spans="1:30" ht="15" customHeight="1">
      <c r="A84" s="225">
        <v>76</v>
      </c>
      <c r="B84" s="216"/>
      <c r="C84" s="216" t="s">
        <v>2192</v>
      </c>
      <c r="D84" s="572"/>
      <c r="E84" s="571"/>
      <c r="F84" s="571"/>
      <c r="G84" s="571"/>
      <c r="H84" s="626"/>
      <c r="I84" s="627"/>
      <c r="J84" s="626"/>
      <c r="K84" s="611" t="s">
        <v>2193</v>
      </c>
      <c r="L84" s="575"/>
      <c r="M84" s="575"/>
      <c r="N84" s="575"/>
      <c r="O84" s="575"/>
      <c r="P84" s="612"/>
      <c r="Q84" s="575" t="s">
        <v>817</v>
      </c>
      <c r="R84" s="613" t="s">
        <v>864</v>
      </c>
      <c r="S84" s="611" t="s">
        <v>2194</v>
      </c>
      <c r="T84" s="613"/>
      <c r="U84" s="575"/>
      <c r="V84" s="614"/>
      <c r="W84" s="614"/>
      <c r="X84" s="629"/>
      <c r="Y84" s="615"/>
      <c r="Z84" s="575"/>
      <c r="AA84" s="616"/>
      <c r="AB84" s="575"/>
      <c r="AC84" s="613"/>
      <c r="AD84" s="613"/>
    </row>
    <row r="85" spans="1:30" ht="15" customHeight="1">
      <c r="A85" s="225">
        <v>77</v>
      </c>
      <c r="B85" s="217"/>
      <c r="C85" s="219"/>
      <c r="D85" s="241" t="s">
        <v>1547</v>
      </c>
      <c r="E85" s="241"/>
      <c r="F85" s="241"/>
      <c r="G85" s="241"/>
      <c r="H85" s="575" t="s">
        <v>2195</v>
      </c>
      <c r="I85" s="611"/>
      <c r="J85" s="575"/>
      <c r="K85" s="611" t="s">
        <v>958</v>
      </c>
      <c r="L85" s="575"/>
      <c r="M85" s="575"/>
      <c r="N85" s="575"/>
      <c r="O85" s="575"/>
      <c r="P85" s="612"/>
      <c r="Q85" s="575"/>
      <c r="R85" s="613"/>
      <c r="S85" s="575"/>
      <c r="T85" s="613"/>
      <c r="U85" s="575"/>
      <c r="V85" s="614"/>
      <c r="W85" s="614"/>
      <c r="X85" s="629"/>
      <c r="Y85" s="615"/>
      <c r="Z85" s="575"/>
      <c r="AA85" s="616"/>
      <c r="AB85" s="575"/>
      <c r="AC85" s="613"/>
      <c r="AD85" s="613"/>
    </row>
    <row r="86" spans="1:30" ht="15" customHeight="1">
      <c r="A86" s="225">
        <v>78</v>
      </c>
      <c r="B86" s="217"/>
      <c r="C86" s="217"/>
      <c r="D86" s="219" t="s">
        <v>2196</v>
      </c>
      <c r="E86" s="241"/>
      <c r="F86" s="241"/>
      <c r="G86" s="241"/>
      <c r="H86" s="575"/>
      <c r="I86" s="611"/>
      <c r="J86" s="575"/>
      <c r="K86" s="611" t="s">
        <v>1566</v>
      </c>
      <c r="L86" s="575"/>
      <c r="M86" s="575"/>
      <c r="N86" s="575"/>
      <c r="O86" s="575"/>
      <c r="P86" s="612"/>
      <c r="Q86" s="575" t="s">
        <v>817</v>
      </c>
      <c r="R86" s="613"/>
      <c r="S86" s="575"/>
      <c r="T86" s="613"/>
      <c r="U86" s="575"/>
      <c r="V86" s="614"/>
      <c r="W86" s="614"/>
      <c r="X86" s="629"/>
      <c r="Y86" s="615"/>
      <c r="Z86" s="575"/>
      <c r="AA86" s="616"/>
      <c r="AB86" s="575"/>
      <c r="AC86" s="613"/>
      <c r="AD86" s="613"/>
    </row>
    <row r="87" spans="1:30" ht="15" customHeight="1">
      <c r="A87" s="225">
        <v>79</v>
      </c>
      <c r="B87" s="217"/>
      <c r="C87" s="217"/>
      <c r="D87" s="219" t="s">
        <v>2197</v>
      </c>
      <c r="E87" s="241"/>
      <c r="F87" s="241"/>
      <c r="G87" s="241"/>
      <c r="H87" s="575"/>
      <c r="I87" s="611"/>
      <c r="J87" s="575"/>
      <c r="K87" s="611" t="s">
        <v>1569</v>
      </c>
      <c r="L87" s="575"/>
      <c r="M87" s="575"/>
      <c r="N87" s="575"/>
      <c r="O87" s="575"/>
      <c r="P87" s="612"/>
      <c r="Q87" s="575" t="s">
        <v>817</v>
      </c>
      <c r="R87" s="613" t="s">
        <v>864</v>
      </c>
      <c r="S87" s="379" t="s">
        <v>1569</v>
      </c>
      <c r="T87" s="613"/>
      <c r="U87" s="575"/>
      <c r="V87" s="614"/>
      <c r="W87" s="614"/>
      <c r="X87" s="629"/>
      <c r="Y87" s="615"/>
      <c r="Z87" s="575"/>
      <c r="AA87" s="616"/>
      <c r="AB87" s="575"/>
      <c r="AC87" s="613"/>
      <c r="AD87" s="613"/>
    </row>
    <row r="88" spans="1:30" ht="15" customHeight="1">
      <c r="A88" s="225">
        <v>80</v>
      </c>
      <c r="B88" s="217"/>
      <c r="C88" s="217"/>
      <c r="D88" s="219"/>
      <c r="E88" s="219" t="s">
        <v>2198</v>
      </c>
      <c r="F88" s="241"/>
      <c r="G88" s="241"/>
      <c r="H88" s="575"/>
      <c r="I88" s="611"/>
      <c r="J88" s="575"/>
      <c r="K88" s="611" t="s">
        <v>2199</v>
      </c>
      <c r="L88" s="575"/>
      <c r="M88" s="575"/>
      <c r="N88" s="575"/>
      <c r="O88" s="575"/>
      <c r="P88" s="612"/>
      <c r="Q88" s="575" t="s">
        <v>817</v>
      </c>
      <c r="R88" s="613"/>
      <c r="S88" s="575"/>
      <c r="T88" s="613"/>
      <c r="U88" s="575"/>
      <c r="V88" s="614"/>
      <c r="W88" s="614"/>
      <c r="X88" s="629"/>
      <c r="Y88" s="615"/>
      <c r="Z88" s="575"/>
      <c r="AA88" s="616"/>
      <c r="AB88" s="575"/>
      <c r="AC88" s="613"/>
      <c r="AD88" s="613"/>
    </row>
    <row r="89" spans="1:30" ht="15" customHeight="1">
      <c r="A89" s="225">
        <v>81</v>
      </c>
      <c r="B89" s="217"/>
      <c r="C89" s="217"/>
      <c r="D89" s="219"/>
      <c r="E89" s="219" t="s">
        <v>2200</v>
      </c>
      <c r="F89" s="241"/>
      <c r="G89" s="241"/>
      <c r="H89" s="575"/>
      <c r="I89" s="611"/>
      <c r="J89" s="575"/>
      <c r="K89" s="611" t="s">
        <v>2201</v>
      </c>
      <c r="L89" s="575"/>
      <c r="M89" s="575"/>
      <c r="N89" s="575"/>
      <c r="O89" s="575"/>
      <c r="P89" s="612"/>
      <c r="Q89" s="575" t="s">
        <v>817</v>
      </c>
      <c r="R89" s="613"/>
      <c r="S89" s="575"/>
      <c r="T89" s="613"/>
      <c r="U89" s="575"/>
      <c r="V89" s="614"/>
      <c r="W89" s="614"/>
      <c r="X89" s="629"/>
      <c r="Y89" s="615"/>
      <c r="Z89" s="575"/>
      <c r="AA89" s="616"/>
      <c r="AB89" s="575"/>
      <c r="AC89" s="613"/>
      <c r="AD89" s="613"/>
    </row>
    <row r="90" spans="1:30" ht="15" customHeight="1">
      <c r="A90" s="225">
        <v>82</v>
      </c>
      <c r="B90" s="217"/>
      <c r="C90" s="219"/>
      <c r="D90" s="241"/>
      <c r="E90" s="219" t="s">
        <v>1559</v>
      </c>
      <c r="F90" s="241"/>
      <c r="G90" s="241"/>
      <c r="H90" s="575"/>
      <c r="I90" s="611"/>
      <c r="J90" s="575"/>
      <c r="K90" s="611" t="s">
        <v>2202</v>
      </c>
      <c r="L90" s="575"/>
      <c r="M90" s="575"/>
      <c r="N90" s="575"/>
      <c r="O90" s="575"/>
      <c r="P90" s="612"/>
      <c r="Q90" s="575" t="s">
        <v>817</v>
      </c>
      <c r="R90" s="613"/>
      <c r="S90" s="575"/>
      <c r="T90" s="613"/>
      <c r="U90" s="575"/>
      <c r="V90" s="614"/>
      <c r="W90" s="614"/>
      <c r="X90" s="629"/>
      <c r="Y90" s="615"/>
      <c r="Z90" s="575"/>
      <c r="AA90" s="616"/>
      <c r="AB90" s="575"/>
      <c r="AC90" s="613"/>
      <c r="AD90" s="613"/>
    </row>
    <row r="91" spans="1:30" ht="15" customHeight="1">
      <c r="A91" s="225">
        <v>80</v>
      </c>
      <c r="B91" s="217"/>
      <c r="C91" s="217" t="s">
        <v>2203</v>
      </c>
      <c r="D91" s="217"/>
      <c r="E91" s="241"/>
      <c r="F91" s="241"/>
      <c r="G91" s="241"/>
      <c r="H91" s="575"/>
      <c r="I91" s="611"/>
      <c r="J91" s="575"/>
      <c r="K91" s="611" t="s">
        <v>2204</v>
      </c>
      <c r="L91" s="575"/>
      <c r="M91" s="575"/>
      <c r="N91" s="575"/>
      <c r="O91" s="575"/>
      <c r="P91" s="612"/>
      <c r="Q91" s="575" t="s">
        <v>817</v>
      </c>
      <c r="R91" s="613"/>
      <c r="S91" s="575" t="s">
        <v>879</v>
      </c>
      <c r="T91" s="613"/>
      <c r="U91" s="575"/>
      <c r="V91" s="614"/>
      <c r="W91" s="614" t="s">
        <v>864</v>
      </c>
      <c r="X91" s="614"/>
      <c r="Y91" s="615"/>
      <c r="Z91" s="575"/>
      <c r="AA91" s="616"/>
      <c r="AB91" s="575"/>
      <c r="AC91" s="613"/>
      <c r="AD91" s="613"/>
    </row>
    <row r="92" spans="1:30" ht="15" customHeight="1">
      <c r="A92" s="225">
        <v>81</v>
      </c>
      <c r="B92" s="217"/>
      <c r="C92" s="217" t="s">
        <v>2205</v>
      </c>
      <c r="D92" s="217"/>
      <c r="E92" s="241"/>
      <c r="F92" s="241"/>
      <c r="G92" s="241"/>
      <c r="H92" s="575"/>
      <c r="I92" s="611"/>
      <c r="J92" s="575"/>
      <c r="K92" s="611" t="s">
        <v>2206</v>
      </c>
      <c r="L92" s="575"/>
      <c r="M92" s="575"/>
      <c r="N92" s="575"/>
      <c r="O92" s="575"/>
      <c r="P92" s="612"/>
      <c r="Q92" s="575" t="s">
        <v>817</v>
      </c>
      <c r="R92" s="613"/>
      <c r="S92" s="575" t="s">
        <v>879</v>
      </c>
      <c r="T92" s="613"/>
      <c r="U92" s="575"/>
      <c r="V92" s="614"/>
      <c r="W92" s="614" t="s">
        <v>864</v>
      </c>
      <c r="X92" s="614"/>
      <c r="Y92" s="615"/>
      <c r="Z92" s="575"/>
      <c r="AA92" s="616"/>
      <c r="AB92" s="575"/>
      <c r="AC92" s="613"/>
      <c r="AD92" s="613"/>
    </row>
    <row r="93" spans="1:30" ht="16.5" customHeight="1">
      <c r="A93" s="225">
        <f>SUBTOTAL(103,createCase215[ID])</f>
        <v>84</v>
      </c>
      <c r="B93" s="224"/>
      <c r="C93" s="225">
        <f>SUBTOTAL(103,createCase215[Donnée (Niveau 2)])</f>
        <v>34</v>
      </c>
      <c r="D93" s="225">
        <f>SUBTOTAL(103,createCase215[Donnée (Niveau 3)])</f>
        <v>34</v>
      </c>
      <c r="E93" s="225">
        <f>SUBTOTAL(103,createCase215[Donnée (Niveau 4)])</f>
        <v>6</v>
      </c>
      <c r="F93" s="225">
        <f>SUBTOTAL(103,createCase215[Donnée (Niveau 5)])</f>
        <v>0</v>
      </c>
      <c r="G93" s="225">
        <f>SUBTOTAL(103,createCase215[Donnée (Niveau 6)])</f>
        <v>0</v>
      </c>
      <c r="H93" s="225">
        <f>SUBTOTAL(103,createCase215[Description])</f>
        <v>35</v>
      </c>
      <c r="I93" s="225">
        <f>SUBTOTAL(103,createCase215[Exemples])</f>
        <v>20</v>
      </c>
      <c r="J93" s="225">
        <f>SUBTOTAL(103,createCase215[Balise NexSIS])</f>
        <v>3</v>
      </c>
      <c r="K93" s="239">
        <f>SUBTOTAL(103,createCase215[Nouvelle balise])</f>
        <v>75</v>
      </c>
      <c r="L93" s="225">
        <f>SUBTOTAL(103,createCase215[Nantes - balise])</f>
        <v>6</v>
      </c>
      <c r="M93" s="225">
        <f>SUBTOTAL(103,createCase215[Nantes - description])</f>
        <v>6</v>
      </c>
      <c r="N93" s="225">
        <f>SUBTOTAL(103,createCase215[GT399])</f>
        <v>0</v>
      </c>
      <c r="O93" s="225">
        <f>SUBTOTAL(103,createCase215[GT399 description])</f>
        <v>0</v>
      </c>
      <c r="P93" s="234">
        <f>SUBTOTAL(103,createCase215[Priorisation])</f>
        <v>1</v>
      </c>
      <c r="Q93" s="225"/>
      <c r="R93" s="225">
        <f>SUBTOTAL(103,createCase215[Objet])</f>
        <v>11</v>
      </c>
      <c r="S93" s="225">
        <f>SUBTOTAL(103,createCase215[Format (ou type)])</f>
        <v>74</v>
      </c>
      <c r="T93" s="274"/>
      <c r="U93" s="225"/>
      <c r="V93" s="225"/>
      <c r="W93" s="225"/>
      <c r="X93" s="225"/>
      <c r="Y93" s="271">
        <f>SUBTOTAL(103,createCase215[Commentaire Hub Santé])</f>
        <v>0</v>
      </c>
      <c r="Z93" s="225">
        <f>SUBTOTAL(103,createCase215[Commentaire Philippe Dreyfus])</f>
        <v>0</v>
      </c>
      <c r="AA93" s="239"/>
      <c r="AB93" s="225">
        <f>SUBTOTAL(103,createCase215[Commentaire Yann Penverne])</f>
        <v>0</v>
      </c>
      <c r="AC93" s="225">
        <f>SUBTOTAL(103,createCase215[NexSIS])-COUNTIFS(createCase215[NexSIS],"=X")</f>
        <v>0</v>
      </c>
      <c r="AD93" s="225">
        <f>SUBTOTAL(103,createCase215[Métier])-COUNTIFS(createCase215[Métier],"=X")</f>
        <v>0</v>
      </c>
    </row>
    <row r="94" spans="1:30" ht="12" customHeight="1">
      <c r="A94" s="3"/>
      <c r="B94" s="3"/>
      <c r="C94" s="131"/>
      <c r="D94" s="131"/>
      <c r="E94" s="131"/>
      <c r="F94" s="131"/>
      <c r="G94" s="5"/>
      <c r="H94" s="155"/>
      <c r="J94" s="5"/>
      <c r="K94" s="155"/>
      <c r="L94" s="5"/>
      <c r="M94" s="5"/>
      <c r="N94" s="5"/>
      <c r="O94" s="5"/>
      <c r="P94" s="188"/>
      <c r="Q94" s="5"/>
      <c r="R94" s="5"/>
      <c r="S94" s="5"/>
      <c r="T94" s="56"/>
      <c r="U94" s="56"/>
      <c r="V94" s="56"/>
      <c r="W94" s="56"/>
      <c r="X94" s="56"/>
      <c r="Y94" s="178"/>
      <c r="Z94" s="5"/>
      <c r="AB94" s="56"/>
      <c r="AC94" s="128"/>
      <c r="AD94" s="56"/>
    </row>
    <row r="95" spans="1:30" ht="12" customHeight="1">
      <c r="A95" s="129"/>
      <c r="B95" s="129"/>
      <c r="C95" s="129"/>
      <c r="D95" s="129"/>
      <c r="E95" s="129"/>
      <c r="F95" s="129"/>
      <c r="AC95" s="128"/>
    </row>
    <row r="96" spans="1:30" ht="12" customHeight="1">
      <c r="G96" s="128"/>
      <c r="H96" s="128"/>
      <c r="I96" s="224"/>
      <c r="J96" s="128"/>
      <c r="K96" s="128"/>
      <c r="L96" s="128"/>
      <c r="M96" s="128"/>
      <c r="N96" s="128"/>
      <c r="O96" s="128"/>
      <c r="P96" s="174"/>
      <c r="Q96" s="128"/>
      <c r="AC96" s="128"/>
    </row>
    <row r="97" spans="1:1016" ht="12" customHeight="1">
      <c r="G97" s="128"/>
      <c r="H97" s="128"/>
      <c r="I97" s="224"/>
      <c r="J97" s="128"/>
      <c r="K97" s="128"/>
      <c r="L97" s="128"/>
      <c r="M97" s="128"/>
      <c r="N97" s="128"/>
      <c r="O97" s="128"/>
      <c r="P97" s="174"/>
      <c r="Q97" s="128"/>
      <c r="AC97" s="128"/>
    </row>
    <row r="98" spans="1:1016" ht="12" customHeight="1">
      <c r="G98" s="128"/>
      <c r="H98" s="128"/>
      <c r="I98" s="224"/>
      <c r="J98" s="128"/>
      <c r="K98" s="128"/>
      <c r="L98" s="128"/>
      <c r="M98" s="128"/>
      <c r="N98" s="128"/>
      <c r="O98" s="128"/>
      <c r="P98" s="174"/>
      <c r="Q98" s="128"/>
      <c r="AC98" s="128"/>
    </row>
    <row r="99" spans="1:1016" ht="12" customHeight="1">
      <c r="G99" s="128"/>
      <c r="H99" s="128"/>
      <c r="I99" s="224"/>
      <c r="J99" s="128"/>
      <c r="K99" s="128"/>
      <c r="L99" s="128"/>
      <c r="M99" s="128"/>
      <c r="N99" s="128"/>
      <c r="O99" s="128"/>
      <c r="P99" s="174"/>
      <c r="Q99" s="128"/>
      <c r="AC99" s="128"/>
    </row>
    <row r="100" spans="1:1016" ht="12" customHeight="1">
      <c r="G100" s="128"/>
      <c r="H100" s="128"/>
      <c r="I100" s="224"/>
      <c r="J100" s="128"/>
      <c r="K100" s="128"/>
      <c r="L100" s="128"/>
      <c r="M100" s="128"/>
      <c r="N100" s="128"/>
      <c r="O100" s="128"/>
      <c r="P100" s="174"/>
      <c r="Q100" s="128"/>
    </row>
    <row r="101" spans="1:1016" ht="12" customHeight="1">
      <c r="AA101" s="161"/>
      <c r="AC101" s="117"/>
    </row>
    <row r="102" spans="1:1016" ht="12" customHeight="1">
      <c r="A102" s="117"/>
      <c r="B102" s="117"/>
      <c r="C102" s="117"/>
      <c r="D102" s="117"/>
      <c r="E102" s="117"/>
      <c r="F102" s="117"/>
      <c r="G102" s="117"/>
      <c r="H102" s="117"/>
      <c r="I102" s="251"/>
      <c r="J102" s="117"/>
      <c r="K102" s="117"/>
      <c r="L102" s="117"/>
      <c r="M102" s="117"/>
      <c r="N102" s="117"/>
      <c r="O102" s="117"/>
      <c r="P102" s="189"/>
      <c r="Q102" s="117"/>
    </row>
    <row r="103" spans="1:1016" ht="12" customHeight="1">
      <c r="R103" s="112"/>
      <c r="S103" s="112"/>
      <c r="T103" s="125"/>
      <c r="U103" s="112"/>
      <c r="V103" s="112"/>
      <c r="W103" s="112"/>
      <c r="X103" s="112"/>
      <c r="Y103" s="180"/>
      <c r="Z103" s="112"/>
      <c r="AB103" s="112"/>
      <c r="AD103" s="112"/>
    </row>
    <row r="104" spans="1:1016" ht="12" customHeight="1"/>
    <row r="105" spans="1:1016" ht="12" customHeight="1"/>
    <row r="106" spans="1:1016" ht="12" customHeight="1"/>
    <row r="107" spans="1:1016" ht="12" customHeight="1"/>
    <row r="108" spans="1:1016" s="117" customFormat="1" ht="12" customHeight="1">
      <c r="A108" s="128"/>
      <c r="B108" s="128"/>
      <c r="C108" s="128"/>
      <c r="D108" s="128"/>
      <c r="E108" s="128"/>
      <c r="F108" s="128"/>
      <c r="G108" s="96"/>
      <c r="H108" s="96"/>
      <c r="I108" s="225"/>
      <c r="J108" s="96"/>
      <c r="K108" s="159"/>
      <c r="L108" s="96"/>
      <c r="M108" s="96"/>
      <c r="N108" s="96"/>
      <c r="O108" s="96"/>
      <c r="P108" s="173"/>
      <c r="Q108" s="96"/>
      <c r="R108" s="96"/>
      <c r="S108" s="96"/>
      <c r="T108" s="278"/>
      <c r="U108" s="96"/>
      <c r="V108" s="96"/>
      <c r="W108" s="96"/>
      <c r="X108" s="96"/>
      <c r="Y108" s="179"/>
      <c r="Z108" s="96"/>
      <c r="AA108" s="159"/>
      <c r="AB108" s="96"/>
      <c r="AC108"/>
      <c r="AD108" s="96"/>
      <c r="AMB108"/>
    </row>
    <row r="109" spans="1:1016" s="117" customFormat="1" ht="12" customHeight="1">
      <c r="A109" s="128"/>
      <c r="B109" s="128"/>
      <c r="C109" s="128"/>
      <c r="D109" s="128"/>
      <c r="E109" s="128"/>
      <c r="F109" s="128"/>
      <c r="G109" s="96"/>
      <c r="H109" s="96"/>
      <c r="I109" s="225"/>
      <c r="J109" s="96"/>
      <c r="K109" s="159"/>
      <c r="L109" s="96"/>
      <c r="M109" s="96"/>
      <c r="N109" s="96"/>
      <c r="O109" s="96"/>
      <c r="P109" s="173"/>
      <c r="Q109" s="96"/>
      <c r="R109" s="96"/>
      <c r="S109" s="96"/>
      <c r="T109" s="278"/>
      <c r="U109" s="96"/>
      <c r="V109" s="96"/>
      <c r="W109" s="96"/>
      <c r="X109" s="96"/>
      <c r="Y109" s="179"/>
      <c r="Z109" s="96"/>
      <c r="AA109" s="159"/>
      <c r="AB109" s="96"/>
      <c r="AC109"/>
      <c r="AD109" s="96"/>
      <c r="AMB109"/>
    </row>
    <row r="110" spans="1:1016" s="117" customFormat="1" ht="12" customHeight="1">
      <c r="A110" s="128"/>
      <c r="B110" s="128"/>
      <c r="C110" s="128"/>
      <c r="D110" s="128"/>
      <c r="E110" s="128"/>
      <c r="F110" s="128"/>
      <c r="G110" s="96"/>
      <c r="H110" s="96"/>
      <c r="I110" s="225"/>
      <c r="J110" s="96"/>
      <c r="K110" s="159"/>
      <c r="L110" s="96"/>
      <c r="M110" s="96"/>
      <c r="N110" s="96"/>
      <c r="O110" s="96"/>
      <c r="P110" s="173"/>
      <c r="Q110" s="96"/>
      <c r="R110" s="96"/>
      <c r="S110" s="96"/>
      <c r="T110" s="278"/>
      <c r="U110" s="96"/>
      <c r="V110" s="96"/>
      <c r="W110" s="96"/>
      <c r="X110" s="96"/>
      <c r="Y110" s="179"/>
      <c r="Z110" s="96"/>
      <c r="AA110" s="159"/>
      <c r="AB110" s="96"/>
      <c r="AC110"/>
      <c r="AD110" s="96"/>
      <c r="AMB110"/>
    </row>
    <row r="111" spans="1:1016" s="117" customFormat="1" ht="12" customHeight="1">
      <c r="A111" s="128"/>
      <c r="B111" s="128"/>
      <c r="C111" s="128"/>
      <c r="D111" s="128"/>
      <c r="E111" s="128"/>
      <c r="F111" s="128"/>
      <c r="G111" s="96"/>
      <c r="H111" s="96"/>
      <c r="I111" s="225"/>
      <c r="J111" s="96"/>
      <c r="K111" s="159"/>
      <c r="L111" s="96"/>
      <c r="M111" s="96"/>
      <c r="N111" s="96"/>
      <c r="O111" s="96"/>
      <c r="P111" s="173"/>
      <c r="Q111" s="96"/>
      <c r="R111" s="96"/>
      <c r="S111" s="96"/>
      <c r="T111" s="278"/>
      <c r="U111" s="96"/>
      <c r="V111" s="96"/>
      <c r="W111" s="96"/>
      <c r="X111" s="96"/>
      <c r="Y111" s="179"/>
      <c r="Z111" s="96"/>
      <c r="AA111" s="159"/>
      <c r="AB111" s="96"/>
      <c r="AC111"/>
      <c r="AD111" s="96"/>
      <c r="AMB111"/>
    </row>
    <row r="112" spans="1:1016" s="117" customFormat="1" ht="12" customHeight="1">
      <c r="A112" s="128"/>
      <c r="B112" s="128"/>
      <c r="C112" s="128"/>
      <c r="D112" s="128"/>
      <c r="E112" s="128"/>
      <c r="F112" s="128"/>
      <c r="G112" s="96"/>
      <c r="H112" s="96"/>
      <c r="I112" s="225"/>
      <c r="J112" s="96"/>
      <c r="K112" s="159"/>
      <c r="L112" s="96"/>
      <c r="M112" s="96"/>
      <c r="N112" s="96"/>
      <c r="O112" s="96"/>
      <c r="P112" s="173"/>
      <c r="Q112" s="96"/>
      <c r="R112" s="96"/>
      <c r="S112" s="96"/>
      <c r="T112" s="278"/>
      <c r="U112" s="96"/>
      <c r="V112" s="96"/>
      <c r="W112" s="96"/>
      <c r="X112" s="96"/>
      <c r="Y112" s="179"/>
      <c r="Z112" s="96"/>
      <c r="AA112" s="159"/>
      <c r="AB112" s="96"/>
      <c r="AC112"/>
      <c r="AD112" s="96"/>
      <c r="AMB112"/>
    </row>
    <row r="113" spans="1:1016" s="117" customFormat="1" ht="12" customHeight="1">
      <c r="A113" s="128"/>
      <c r="B113" s="128"/>
      <c r="C113" s="128"/>
      <c r="D113" s="128"/>
      <c r="E113" s="128"/>
      <c r="F113" s="128"/>
      <c r="G113" s="96"/>
      <c r="H113" s="96"/>
      <c r="I113" s="225"/>
      <c r="J113" s="96"/>
      <c r="K113" s="159"/>
      <c r="L113" s="96"/>
      <c r="M113" s="96"/>
      <c r="N113" s="96"/>
      <c r="O113" s="96"/>
      <c r="P113" s="173"/>
      <c r="Q113" s="96"/>
      <c r="R113" s="96"/>
      <c r="S113" s="96"/>
      <c r="T113" s="278"/>
      <c r="U113" s="96"/>
      <c r="V113" s="96"/>
      <c r="W113" s="96"/>
      <c r="X113" s="96"/>
      <c r="Y113" s="179"/>
      <c r="Z113" s="96"/>
      <c r="AA113" s="159"/>
      <c r="AB113" s="96"/>
      <c r="AC113"/>
      <c r="AD113" s="96"/>
      <c r="AMB113"/>
    </row>
    <row r="114" spans="1:1016" s="117" customFormat="1" ht="12" customHeight="1">
      <c r="A114" s="128"/>
      <c r="B114" s="128"/>
      <c r="C114" s="128"/>
      <c r="D114" s="128"/>
      <c r="E114" s="128"/>
      <c r="F114" s="128"/>
      <c r="G114" s="96"/>
      <c r="H114" s="96"/>
      <c r="I114" s="225"/>
      <c r="J114" s="96"/>
      <c r="K114" s="159"/>
      <c r="L114" s="96"/>
      <c r="M114" s="96"/>
      <c r="N114" s="96"/>
      <c r="O114" s="96"/>
      <c r="P114" s="173"/>
      <c r="Q114" s="96"/>
      <c r="R114" s="96"/>
      <c r="S114" s="96"/>
      <c r="T114" s="278"/>
      <c r="U114" s="96"/>
      <c r="V114" s="96"/>
      <c r="W114" s="96"/>
      <c r="X114" s="96"/>
      <c r="Y114" s="179"/>
      <c r="Z114" s="96"/>
      <c r="AA114" s="159"/>
      <c r="AB114" s="96"/>
      <c r="AC114"/>
      <c r="AD114" s="96"/>
      <c r="AMB114"/>
    </row>
    <row r="115" spans="1:1016" ht="12" customHeight="1">
      <c r="A115" s="130"/>
      <c r="B115" s="130"/>
      <c r="C115" s="130"/>
      <c r="D115" s="130"/>
      <c r="E115" s="130"/>
      <c r="F115" s="130"/>
    </row>
    <row r="116" spans="1:1016" ht="12" customHeight="1">
      <c r="A116" s="130"/>
      <c r="B116" s="130"/>
      <c r="C116" s="130"/>
      <c r="D116" s="130"/>
      <c r="E116" s="130"/>
      <c r="F116" s="130"/>
    </row>
    <row r="117" spans="1:1016" ht="12" customHeight="1">
      <c r="A117" s="130"/>
      <c r="B117" s="130"/>
      <c r="C117" s="130"/>
      <c r="D117" s="130"/>
      <c r="E117" s="130"/>
      <c r="F117" s="130"/>
    </row>
    <row r="118" spans="1:1016" ht="12" customHeight="1">
      <c r="A118" s="130"/>
      <c r="B118" s="130"/>
      <c r="C118" s="130"/>
      <c r="D118" s="130"/>
      <c r="E118" s="130"/>
      <c r="F118" s="130"/>
    </row>
    <row r="119" spans="1:1016" ht="12" customHeight="1">
      <c r="A119" s="130"/>
      <c r="B119" s="130"/>
      <c r="C119" s="130"/>
      <c r="D119" s="130"/>
      <c r="E119" s="130"/>
      <c r="F119" s="130"/>
    </row>
    <row r="120" spans="1:1016" ht="12" customHeight="1">
      <c r="A120" s="130"/>
      <c r="B120" s="130"/>
      <c r="C120" s="130"/>
      <c r="D120" s="130"/>
      <c r="E120" s="130"/>
      <c r="F120" s="130"/>
    </row>
    <row r="121" spans="1:1016" ht="12" customHeight="1">
      <c r="A121" s="130"/>
      <c r="B121" s="130"/>
      <c r="C121" s="130"/>
      <c r="D121" s="130"/>
      <c r="E121" s="130"/>
      <c r="F121" s="130"/>
    </row>
    <row r="122" spans="1:1016">
      <c r="A122" s="130"/>
      <c r="B122" s="130"/>
      <c r="C122" s="130"/>
      <c r="D122" s="130"/>
      <c r="E122" s="130"/>
      <c r="F122" s="130"/>
    </row>
    <row r="123" spans="1:1016">
      <c r="A123" s="129"/>
      <c r="B123" s="129"/>
      <c r="C123" s="129"/>
      <c r="D123" s="129"/>
      <c r="E123" s="129"/>
      <c r="F123" s="129"/>
    </row>
    <row r="124" spans="1:1016">
      <c r="A124" s="129"/>
      <c r="B124" s="129"/>
      <c r="C124" s="129"/>
      <c r="D124" s="129"/>
      <c r="E124" s="129"/>
      <c r="F124" s="129"/>
    </row>
    <row r="125" spans="1:1016">
      <c r="A125" s="129"/>
      <c r="B125" s="129"/>
      <c r="C125" s="129"/>
      <c r="D125" s="129"/>
      <c r="E125" s="129"/>
      <c r="F125" s="129"/>
    </row>
    <row r="126" spans="1:1016">
      <c r="A126" s="129"/>
      <c r="B126" s="129"/>
      <c r="C126" s="129"/>
      <c r="D126" s="129"/>
      <c r="E126" s="129"/>
      <c r="F126" s="129"/>
    </row>
    <row r="127" spans="1:1016">
      <c r="A127" s="129"/>
      <c r="B127" s="129"/>
      <c r="C127" s="129"/>
      <c r="D127" s="129"/>
      <c r="E127" s="129"/>
      <c r="F127" s="129"/>
    </row>
    <row r="128" spans="1:1016">
      <c r="A128" s="129"/>
      <c r="B128" s="129"/>
      <c r="C128" s="129"/>
      <c r="D128" s="129"/>
      <c r="E128" s="129"/>
      <c r="F128" s="129"/>
    </row>
    <row r="129" spans="1:30">
      <c r="A129" s="129"/>
      <c r="B129" s="129"/>
      <c r="C129" s="129"/>
      <c r="D129" s="129"/>
      <c r="E129" s="129"/>
      <c r="F129" s="129"/>
    </row>
    <row r="130" spans="1:30">
      <c r="A130" s="129"/>
      <c r="B130" s="129"/>
      <c r="C130" s="129"/>
      <c r="D130" s="129"/>
      <c r="E130" s="129"/>
      <c r="F130" s="129"/>
      <c r="AA130" s="161"/>
      <c r="AC130" s="117"/>
    </row>
    <row r="131" spans="1:30">
      <c r="A131" s="130"/>
      <c r="B131" s="130"/>
      <c r="C131" s="130"/>
      <c r="D131" s="130"/>
      <c r="E131" s="130"/>
      <c r="F131" s="130"/>
      <c r="AA131" s="161"/>
      <c r="AC131" s="117"/>
    </row>
    <row r="132" spans="1:30">
      <c r="A132" s="123"/>
      <c r="B132" s="123"/>
      <c r="C132" s="123"/>
      <c r="D132" s="123"/>
      <c r="E132" s="123"/>
      <c r="F132" s="123"/>
      <c r="G132" s="112"/>
      <c r="H132" s="112"/>
      <c r="I132" s="277"/>
      <c r="J132" s="112"/>
      <c r="K132" s="161"/>
      <c r="L132" s="112"/>
      <c r="M132" s="112"/>
      <c r="N132" s="112"/>
      <c r="O132" s="112"/>
      <c r="P132" s="190"/>
      <c r="Q132" s="112"/>
      <c r="R132" s="112"/>
      <c r="S132" s="112"/>
      <c r="T132" s="125"/>
      <c r="U132" s="112"/>
      <c r="V132" s="112"/>
      <c r="W132" s="112"/>
      <c r="X132" s="112"/>
      <c r="Y132" s="180"/>
      <c r="Z132" s="112"/>
      <c r="AA132" s="161"/>
      <c r="AB132" s="112"/>
      <c r="AC132" s="117"/>
      <c r="AD132" s="112"/>
    </row>
    <row r="133" spans="1:30">
      <c r="A133" s="123"/>
      <c r="B133" s="123"/>
      <c r="C133" s="123"/>
      <c r="D133" s="123"/>
      <c r="E133" s="123"/>
      <c r="F133" s="123"/>
      <c r="G133" s="112"/>
      <c r="H133" s="112"/>
      <c r="I133" s="277"/>
      <c r="J133" s="112"/>
      <c r="K133" s="161"/>
      <c r="L133" s="112"/>
      <c r="M133" s="112"/>
      <c r="N133" s="112"/>
      <c r="O133" s="112"/>
      <c r="P133" s="190"/>
      <c r="Q133" s="112"/>
      <c r="R133" s="112"/>
      <c r="S133" s="112"/>
      <c r="T133" s="125"/>
      <c r="U133" s="112"/>
      <c r="V133" s="112"/>
      <c r="W133" s="112"/>
      <c r="X133" s="112"/>
      <c r="Y133" s="180"/>
      <c r="Z133" s="112"/>
      <c r="AA133" s="161"/>
      <c r="AB133" s="112"/>
      <c r="AC133" s="117"/>
      <c r="AD133" s="112"/>
    </row>
    <row r="134" spans="1:30">
      <c r="A134" s="123"/>
      <c r="B134" s="123"/>
      <c r="C134" s="123"/>
      <c r="D134" s="123"/>
      <c r="E134" s="123"/>
      <c r="F134" s="123"/>
      <c r="G134" s="112"/>
      <c r="H134" s="112"/>
      <c r="I134" s="277"/>
      <c r="J134" s="112"/>
      <c r="K134" s="161"/>
      <c r="L134" s="112"/>
      <c r="M134" s="112"/>
      <c r="N134" s="112"/>
      <c r="O134" s="112"/>
      <c r="P134" s="190"/>
      <c r="Q134" s="112"/>
      <c r="R134" s="112"/>
      <c r="S134" s="112"/>
      <c r="T134" s="125"/>
      <c r="U134" s="112"/>
      <c r="V134" s="112"/>
      <c r="W134" s="112"/>
      <c r="X134" s="112"/>
      <c r="Y134" s="180"/>
      <c r="Z134" s="112"/>
      <c r="AA134" s="161"/>
      <c r="AB134" s="112"/>
      <c r="AC134" s="117"/>
      <c r="AD134" s="112"/>
    </row>
    <row r="135" spans="1:30">
      <c r="A135" s="123"/>
      <c r="B135" s="123"/>
      <c r="C135" s="123"/>
      <c r="D135" s="123"/>
      <c r="E135" s="123"/>
      <c r="F135" s="123"/>
      <c r="G135" s="112"/>
      <c r="H135" s="112"/>
      <c r="I135" s="277"/>
      <c r="J135" s="112"/>
      <c r="K135" s="161"/>
      <c r="L135" s="112"/>
      <c r="M135" s="112"/>
      <c r="N135" s="112"/>
      <c r="O135" s="112"/>
      <c r="P135" s="190"/>
      <c r="Q135" s="112"/>
      <c r="R135" s="112"/>
      <c r="S135" s="112"/>
      <c r="T135" s="125"/>
      <c r="U135" s="112"/>
      <c r="V135" s="112"/>
      <c r="W135" s="112"/>
      <c r="X135" s="112"/>
      <c r="Y135" s="180"/>
      <c r="Z135" s="112"/>
      <c r="AA135" s="161"/>
      <c r="AB135" s="112"/>
      <c r="AC135" s="117"/>
      <c r="AD135" s="112"/>
    </row>
    <row r="136" spans="1:30">
      <c r="A136" s="123"/>
      <c r="B136" s="123"/>
      <c r="C136" s="123"/>
      <c r="D136" s="123"/>
      <c r="E136" s="123"/>
      <c r="F136" s="123"/>
      <c r="G136" s="112"/>
      <c r="H136" s="112"/>
      <c r="I136" s="277"/>
      <c r="J136" s="112"/>
      <c r="K136" s="161"/>
      <c r="L136" s="112"/>
      <c r="M136" s="112"/>
      <c r="N136" s="112"/>
      <c r="O136" s="112"/>
      <c r="P136" s="190"/>
      <c r="Q136" s="112"/>
      <c r="R136" s="112"/>
      <c r="S136" s="112"/>
      <c r="T136" s="125"/>
      <c r="U136" s="112"/>
      <c r="V136" s="112"/>
      <c r="W136" s="112"/>
      <c r="X136" s="112"/>
      <c r="Y136" s="180"/>
      <c r="Z136" s="112"/>
      <c r="AA136" s="161"/>
      <c r="AB136" s="112"/>
      <c r="AC136" s="117"/>
      <c r="AD136" s="112"/>
    </row>
    <row r="137" spans="1:30">
      <c r="A137" s="123"/>
      <c r="B137" s="123"/>
      <c r="C137" s="123"/>
      <c r="D137" s="123"/>
      <c r="E137" s="123"/>
      <c r="F137" s="123"/>
      <c r="G137" s="112"/>
      <c r="H137" s="112"/>
      <c r="I137" s="277"/>
      <c r="J137" s="112"/>
      <c r="K137" s="161"/>
      <c r="L137" s="112"/>
      <c r="M137" s="112"/>
      <c r="N137" s="112"/>
      <c r="O137" s="112"/>
      <c r="P137" s="190"/>
      <c r="Q137" s="112"/>
      <c r="R137" s="112"/>
      <c r="S137" s="112"/>
      <c r="T137" s="125"/>
      <c r="U137" s="112"/>
      <c r="V137" s="112"/>
      <c r="W137" s="112"/>
      <c r="X137" s="112"/>
      <c r="Y137" s="180"/>
      <c r="Z137" s="112"/>
      <c r="AB137" s="112"/>
      <c r="AD137" s="112"/>
    </row>
    <row r="138" spans="1:30">
      <c r="A138" s="123"/>
      <c r="B138" s="123"/>
      <c r="C138" s="123"/>
      <c r="D138" s="123"/>
      <c r="E138" s="123"/>
      <c r="F138" s="123"/>
      <c r="G138" s="112"/>
      <c r="H138" s="112"/>
      <c r="I138" s="277"/>
      <c r="J138" s="112"/>
      <c r="K138" s="161"/>
      <c r="L138" s="112"/>
      <c r="M138" s="112"/>
      <c r="N138" s="112"/>
      <c r="O138" s="112"/>
      <c r="P138" s="190"/>
      <c r="Q138" s="112"/>
      <c r="R138" s="112"/>
      <c r="S138" s="112"/>
      <c r="T138" s="125"/>
      <c r="U138" s="112"/>
      <c r="V138" s="112"/>
      <c r="W138" s="112"/>
      <c r="X138" s="112"/>
      <c r="Y138" s="180"/>
      <c r="Z138" s="112"/>
      <c r="AB138" s="112"/>
      <c r="AD138" s="112"/>
    </row>
    <row r="139" spans="1:30">
      <c r="A139" s="130"/>
      <c r="B139" s="130"/>
      <c r="C139" s="130"/>
      <c r="D139" s="130"/>
      <c r="E139" s="130"/>
      <c r="F139" s="130"/>
    </row>
    <row r="140" spans="1:30">
      <c r="A140" s="130"/>
      <c r="B140" s="130"/>
      <c r="C140" s="130"/>
      <c r="D140" s="130"/>
      <c r="E140" s="130"/>
      <c r="F140" s="130"/>
    </row>
    <row r="141" spans="1:30">
      <c r="A141" s="130"/>
      <c r="B141" s="130"/>
      <c r="C141" s="130"/>
      <c r="D141" s="130"/>
      <c r="E141" s="130"/>
      <c r="F141" s="130"/>
    </row>
    <row r="142" spans="1:30">
      <c r="A142" s="136"/>
      <c r="B142" s="136"/>
      <c r="C142" s="136"/>
      <c r="D142" s="136"/>
      <c r="E142" s="136"/>
      <c r="F142" s="136"/>
    </row>
    <row r="143" spans="1:30">
      <c r="A143" s="136"/>
      <c r="B143" s="136"/>
      <c r="C143" s="136"/>
      <c r="D143" s="136"/>
      <c r="E143" s="136"/>
      <c r="F143" s="136"/>
    </row>
  </sheetData>
  <mergeCells count="3">
    <mergeCell ref="L7:O7"/>
    <mergeCell ref="AC7:AD7"/>
    <mergeCell ref="V7:X7"/>
  </mergeCells>
  <conditionalFormatting sqref="A94:F95 A115:F955">
    <cfRule type="expression" dxfId="494" priority="269">
      <formula>OR($AD94="X",$AB94="X")</formula>
    </cfRule>
    <cfRule type="expression" dxfId="493" priority="270">
      <formula>AND($AD94=1,$AB94=1)</formula>
    </cfRule>
    <cfRule type="expression" dxfId="492" priority="271">
      <formula>$AD94=1</formula>
    </cfRule>
    <cfRule type="expression" dxfId="491" priority="272">
      <formula>$AB94=1</formula>
    </cfRule>
  </conditionalFormatting>
  <conditionalFormatting sqref="F1:F2">
    <cfRule type="dataBar" priority="267">
      <dataBar>
        <cfvo type="num" val="0"/>
        <cfvo type="num" val="1"/>
        <color rgb="FF63C384"/>
      </dataBar>
      <extLst>
        <ext xmlns:x14="http://schemas.microsoft.com/office/spreadsheetml/2009/9/main" uri="{B025F937-C7B1-47D3-B67F-A62EFF666E3E}">
          <x14:id>{44AF7B13-CDCE-47A4-AF35-55F59109155E}</x14:id>
        </ext>
      </extLst>
    </cfRule>
  </conditionalFormatting>
  <conditionalFormatting sqref="H94:H95 H115:H955">
    <cfRule type="expression" dxfId="490" priority="268">
      <formula>$Q94="X"</formula>
    </cfRule>
  </conditionalFormatting>
  <conditionalFormatting sqref="Q9:Q92">
    <cfRule type="cellIs" dxfId="489" priority="1" operator="equal">
      <formula>"1..1"</formula>
    </cfRule>
    <cfRule type="cellIs" dxfId="488" priority="2" operator="equal">
      <formula>"0..n"</formula>
    </cfRule>
    <cfRule type="cellIs" dxfId="487" priority="3"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44AF7B13-CDCE-47A4-AF35-55F59109155E}">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27058-D0A8-41A4-9E33-3828EB0D4D75}">
  <dimension ref="A1:AMC91"/>
  <sheetViews>
    <sheetView topLeftCell="A8" workbookViewId="0">
      <selection activeCell="D36" sqref="D36"/>
    </sheetView>
  </sheetViews>
  <sheetFormatPr defaultColWidth="9.5" defaultRowHeight="15"/>
  <cols>
    <col min="1" max="1" width="4.625" style="128" customWidth="1"/>
    <col min="2" max="2" width="39.625" style="128" bestFit="1" customWidth="1"/>
    <col min="3" max="3" width="29.375" style="128" customWidth="1"/>
    <col min="4" max="4" width="27.375" style="128" customWidth="1"/>
    <col min="5" max="5" width="10.5" style="128" customWidth="1"/>
    <col min="6" max="6" width="8.625" style="128" customWidth="1"/>
    <col min="7" max="7" width="9.625" style="96" customWidth="1"/>
    <col min="8" max="8" width="53.125" style="96" customWidth="1"/>
    <col min="9" max="9" width="33.5" style="225" customWidth="1"/>
    <col min="10" max="10" width="12" style="96" customWidth="1"/>
    <col min="11" max="11" width="17.875" style="159" customWidth="1"/>
    <col min="12" max="12" width="7.625" style="96" hidden="1" customWidth="1"/>
    <col min="13" max="13" width="9.625" style="96" hidden="1" customWidth="1"/>
    <col min="14" max="14" width="6.125" style="96" hidden="1" customWidth="1"/>
    <col min="15" max="15" width="10.625" style="96" hidden="1" customWidth="1"/>
    <col min="16" max="16" width="11.125" style="173" hidden="1" customWidth="1"/>
    <col min="17" max="17" width="10.5" style="96" customWidth="1"/>
    <col min="18" max="18" width="6" style="96" customWidth="1"/>
    <col min="19" max="19" width="18.5" style="96" customWidth="1"/>
    <col min="20" max="20" width="12.625" style="278" customWidth="1"/>
    <col min="21" max="21" width="28.125" style="96" customWidth="1"/>
    <col min="22" max="22" width="8.875" style="96" customWidth="1"/>
    <col min="23" max="23" width="8.125" style="96" customWidth="1"/>
    <col min="24" max="24" width="2.375" hidden="1" customWidth="1"/>
    <col min="25" max="25" width="22.625" style="179" hidden="1" customWidth="1"/>
    <col min="26" max="26" width="24.375" style="96" hidden="1" customWidth="1"/>
    <col min="27" max="27" width="24.5" style="159" hidden="1" customWidth="1"/>
    <col min="28" max="28" width="17.5" style="96" hidden="1" customWidth="1"/>
    <col min="29" max="29" width="0" hidden="1" customWidth="1"/>
    <col min="30" max="30" width="8" style="96" hidden="1" customWidth="1"/>
    <col min="31" max="31" width="8.875" style="128" customWidth="1"/>
    <col min="33" max="1013" width="9.5" style="128"/>
    <col min="1014" max="1014" width="9" style="128" customWidth="1"/>
    <col min="1015" max="1016" width="9" customWidth="1"/>
  </cols>
  <sheetData>
    <row r="1" spans="1:1014" ht="13.5" customHeight="1">
      <c r="A1" s="228" t="s">
        <v>2073</v>
      </c>
      <c r="C1" s="129" t="s">
        <v>813</v>
      </c>
      <c r="E1" s="150" t="s">
        <v>814</v>
      </c>
      <c r="F1" s="157">
        <f>createCase2[[#Totals],[Métier]] / createCase2[[#Totals],[ID]]</f>
        <v>0</v>
      </c>
      <c r="G1" s="128"/>
      <c r="AC1" s="96"/>
      <c r="AE1"/>
      <c r="AF1" s="128"/>
      <c r="ALZ1"/>
    </row>
    <row r="2" spans="1:1014" ht="13.5" customHeight="1">
      <c r="C2" s="141" t="s">
        <v>818</v>
      </c>
      <c r="D2" s="285"/>
      <c r="E2" s="152" t="s">
        <v>819</v>
      </c>
      <c r="F2" s="157">
        <f>createCase2[[#Totals],[NexSIS]] / createCase2[[#Totals],[ID]]</f>
        <v>0</v>
      </c>
      <c r="G2" s="128"/>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78"/>
      <c r="E7" s="138"/>
      <c r="F7" s="138"/>
      <c r="L7" s="591" t="s">
        <v>828</v>
      </c>
      <c r="M7" s="591"/>
      <c r="N7" s="591"/>
      <c r="O7" s="591"/>
      <c r="V7" s="592" t="s">
        <v>829</v>
      </c>
      <c r="W7" s="592"/>
      <c r="AC7" s="591" t="s">
        <v>830</v>
      </c>
      <c r="AD7" s="591"/>
      <c r="AE7"/>
      <c r="AF7" s="128"/>
      <c r="ALZ7"/>
    </row>
    <row r="8" spans="1:1014"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569" t="s">
        <v>2207</v>
      </c>
      <c r="C9" s="240"/>
      <c r="D9" s="610"/>
      <c r="E9" s="610"/>
      <c r="F9" s="610"/>
      <c r="G9" s="610"/>
      <c r="H9" s="575" t="s">
        <v>2208</v>
      </c>
      <c r="I9" s="317"/>
      <c r="J9" s="575"/>
      <c r="K9" s="611"/>
      <c r="L9" s="575"/>
      <c r="M9" s="575"/>
      <c r="N9" s="575"/>
      <c r="O9" s="575"/>
      <c r="P9" s="612"/>
      <c r="Q9" s="575" t="s">
        <v>2209</v>
      </c>
      <c r="R9" s="575"/>
      <c r="S9" s="575"/>
      <c r="T9" s="613"/>
      <c r="U9" s="575"/>
      <c r="V9" s="614"/>
      <c r="W9" s="614"/>
      <c r="X9" s="232"/>
      <c r="Y9" s="615"/>
      <c r="Z9" s="575"/>
      <c r="AA9" s="616"/>
      <c r="AB9" s="575"/>
      <c r="AC9" s="613"/>
      <c r="AD9" s="613"/>
    </row>
    <row r="10" spans="1:1014" s="224" customFormat="1" ht="13.5" customHeight="1">
      <c r="A10" s="225">
        <v>2</v>
      </c>
      <c r="B10" s="253" t="s">
        <v>2210</v>
      </c>
      <c r="C10" s="221"/>
      <c r="D10" s="221"/>
      <c r="E10" s="221"/>
      <c r="F10" s="221"/>
      <c r="G10" s="221"/>
      <c r="H10" s="575" t="s">
        <v>2211</v>
      </c>
      <c r="I10" s="131"/>
      <c r="J10" s="575"/>
      <c r="K10" s="611"/>
      <c r="L10" s="575"/>
      <c r="M10" s="575"/>
      <c r="N10" s="575"/>
      <c r="O10" s="575"/>
      <c r="P10" s="612"/>
      <c r="Q10" s="575" t="s">
        <v>2209</v>
      </c>
      <c r="R10" s="575"/>
      <c r="S10" s="575"/>
      <c r="T10" s="613"/>
      <c r="U10" s="575"/>
      <c r="V10" s="614"/>
      <c r="W10" s="614"/>
      <c r="X10" s="232"/>
      <c r="Y10" s="615"/>
      <c r="Z10" s="575"/>
      <c r="AA10" s="616"/>
      <c r="AB10" s="575"/>
      <c r="AC10" s="613"/>
      <c r="AD10" s="613"/>
    </row>
    <row r="11" spans="1:1014" s="224" customFormat="1" ht="13.5" customHeight="1">
      <c r="A11" s="225">
        <v>3</v>
      </c>
      <c r="B11" s="217" t="s">
        <v>2212</v>
      </c>
      <c r="C11" s="240"/>
      <c r="D11" s="241"/>
      <c r="E11" s="241"/>
      <c r="F11" s="241"/>
      <c r="G11" s="241"/>
      <c r="H11" s="575" t="s">
        <v>2213</v>
      </c>
      <c r="I11" s="611"/>
      <c r="J11" s="575"/>
      <c r="K11" s="611"/>
      <c r="L11" s="575"/>
      <c r="M11" s="575"/>
      <c r="N11" s="575"/>
      <c r="O11" s="575"/>
      <c r="P11" s="612"/>
      <c r="Q11" s="575" t="s">
        <v>2209</v>
      </c>
      <c r="R11" s="575"/>
      <c r="S11" s="575"/>
      <c r="T11" s="613"/>
      <c r="U11" s="575"/>
      <c r="V11" s="614"/>
      <c r="W11" s="614"/>
      <c r="X11" s="232"/>
      <c r="Y11" s="615"/>
      <c r="Z11" s="575"/>
      <c r="AA11" s="616"/>
      <c r="AB11" s="575"/>
      <c r="AC11" s="613"/>
      <c r="AD11" s="613"/>
    </row>
    <row r="12" spans="1:1014" s="224" customFormat="1" ht="13.5" customHeight="1">
      <c r="A12" s="225">
        <v>4</v>
      </c>
      <c r="B12" s="569" t="s">
        <v>1091</v>
      </c>
      <c r="C12" s="240"/>
      <c r="D12" s="241"/>
      <c r="E12" s="241"/>
      <c r="F12" s="241"/>
      <c r="G12" s="241"/>
      <c r="H12" s="575" t="s">
        <v>2214</v>
      </c>
      <c r="I12" s="611"/>
      <c r="J12" s="575"/>
      <c r="K12" s="611"/>
      <c r="L12" s="575"/>
      <c r="M12" s="575"/>
      <c r="N12" s="575"/>
      <c r="O12" s="575"/>
      <c r="P12" s="612"/>
      <c r="Q12" s="575" t="s">
        <v>2215</v>
      </c>
      <c r="R12" s="575"/>
      <c r="S12" s="575" t="s">
        <v>863</v>
      </c>
      <c r="T12" s="613"/>
      <c r="U12" s="575"/>
      <c r="V12" s="614"/>
      <c r="W12" s="614"/>
      <c r="X12" s="232"/>
      <c r="Y12" s="615"/>
      <c r="Z12" s="575"/>
      <c r="AA12" s="616"/>
      <c r="AB12" s="575"/>
      <c r="AC12" s="613"/>
      <c r="AD12" s="613"/>
    </row>
    <row r="13" spans="1:1014" s="224" customFormat="1" ht="13.5" customHeight="1">
      <c r="A13" s="225">
        <v>5</v>
      </c>
      <c r="B13" s="569" t="s">
        <v>1299</v>
      </c>
      <c r="C13" s="610"/>
      <c r="D13" s="241"/>
      <c r="E13" s="241"/>
      <c r="F13" s="241"/>
      <c r="G13" s="241"/>
      <c r="H13" s="575" t="s">
        <v>2216</v>
      </c>
      <c r="I13" s="611"/>
      <c r="J13" s="575"/>
      <c r="K13" s="611"/>
      <c r="L13" s="575"/>
      <c r="M13" s="575"/>
      <c r="N13" s="575"/>
      <c r="O13" s="575"/>
      <c r="P13" s="612"/>
      <c r="Q13" s="575" t="s">
        <v>2215</v>
      </c>
      <c r="R13" s="575"/>
      <c r="S13" s="243" t="s">
        <v>863</v>
      </c>
      <c r="T13" s="613"/>
      <c r="U13" s="575"/>
      <c r="V13" s="614"/>
      <c r="W13" s="614"/>
      <c r="X13" s="232"/>
      <c r="Y13" s="615"/>
      <c r="Z13" s="575"/>
      <c r="AA13" s="616"/>
      <c r="AB13" s="575"/>
      <c r="AC13" s="613"/>
      <c r="AD13" s="613"/>
    </row>
    <row r="14" spans="1:1014" s="224" customFormat="1" ht="13.5" customHeight="1">
      <c r="A14" s="225">
        <v>6</v>
      </c>
      <c r="B14" s="569" t="s">
        <v>2095</v>
      </c>
      <c r="C14" s="610"/>
      <c r="D14" s="241"/>
      <c r="E14" s="241"/>
      <c r="F14" s="241"/>
      <c r="G14" s="241"/>
      <c r="H14" s="575" t="s">
        <v>2217</v>
      </c>
      <c r="I14" s="611"/>
      <c r="J14" s="575"/>
      <c r="K14" s="611"/>
      <c r="L14" s="575"/>
      <c r="M14" s="575"/>
      <c r="N14" s="575"/>
      <c r="O14" s="575"/>
      <c r="P14" s="612"/>
      <c r="Q14" s="575" t="s">
        <v>2215</v>
      </c>
      <c r="R14" s="575"/>
      <c r="S14" s="575" t="s">
        <v>863</v>
      </c>
      <c r="T14" s="613"/>
      <c r="U14" s="575"/>
      <c r="V14" s="614"/>
      <c r="W14" s="614"/>
      <c r="X14" s="232"/>
      <c r="Y14" s="615"/>
      <c r="Z14" s="575"/>
      <c r="AA14" s="616"/>
      <c r="AB14" s="575"/>
      <c r="AC14" s="613"/>
      <c r="AD14" s="613"/>
    </row>
    <row r="15" spans="1:1014" s="224" customFormat="1" ht="13.5" customHeight="1">
      <c r="A15" s="225">
        <v>7</v>
      </c>
      <c r="B15" s="569" t="s">
        <v>2096</v>
      </c>
      <c r="C15" s="610"/>
      <c r="D15" s="241"/>
      <c r="E15" s="241"/>
      <c r="F15" s="241"/>
      <c r="G15" s="241"/>
      <c r="H15" s="575" t="s">
        <v>2218</v>
      </c>
      <c r="I15" s="611"/>
      <c r="J15" s="575"/>
      <c r="K15" s="611"/>
      <c r="L15" s="575"/>
      <c r="M15" s="575"/>
      <c r="N15" s="575"/>
      <c r="O15" s="575"/>
      <c r="P15" s="612"/>
      <c r="Q15" s="575" t="s">
        <v>2215</v>
      </c>
      <c r="R15" s="575"/>
      <c r="S15" s="575" t="s">
        <v>863</v>
      </c>
      <c r="T15" s="613"/>
      <c r="U15" s="575"/>
      <c r="V15" s="614"/>
      <c r="W15" s="614"/>
      <c r="X15" s="232"/>
      <c r="Y15" s="615"/>
      <c r="Z15" s="575"/>
      <c r="AA15" s="616"/>
      <c r="AB15" s="575"/>
      <c r="AC15" s="613"/>
      <c r="AD15" s="613"/>
    </row>
    <row r="16" spans="1:1014" s="224" customFormat="1" ht="13.5" customHeight="1">
      <c r="A16" s="225">
        <v>8</v>
      </c>
      <c r="B16" s="569" t="s">
        <v>2219</v>
      </c>
      <c r="C16" s="610"/>
      <c r="D16" s="241"/>
      <c r="E16" s="241"/>
      <c r="F16" s="241"/>
      <c r="G16" s="241"/>
      <c r="H16" s="575" t="s">
        <v>2220</v>
      </c>
      <c r="I16" s="611"/>
      <c r="J16" s="575"/>
      <c r="K16" s="611"/>
      <c r="L16" s="575"/>
      <c r="M16" s="575"/>
      <c r="N16" s="575"/>
      <c r="O16" s="575"/>
      <c r="P16" s="612"/>
      <c r="Q16" s="575" t="s">
        <v>2215</v>
      </c>
      <c r="R16" s="575"/>
      <c r="S16" s="575" t="s">
        <v>863</v>
      </c>
      <c r="T16" s="613"/>
      <c r="U16" s="575"/>
      <c r="V16" s="614"/>
      <c r="W16" s="614"/>
      <c r="X16" s="232"/>
      <c r="Y16" s="615"/>
      <c r="Z16" s="575"/>
      <c r="AA16" s="616"/>
      <c r="AB16" s="575"/>
      <c r="AC16" s="613"/>
      <c r="AD16" s="613"/>
    </row>
    <row r="17" spans="1:30" s="224" customFormat="1" ht="13.5" customHeight="1">
      <c r="A17" s="225">
        <v>9</v>
      </c>
      <c r="B17" s="217" t="s">
        <v>2221</v>
      </c>
      <c r="C17" s="610"/>
      <c r="D17" s="241"/>
      <c r="E17" s="241"/>
      <c r="F17" s="241"/>
      <c r="G17" s="241"/>
      <c r="H17" s="575" t="s">
        <v>2222</v>
      </c>
      <c r="I17" s="611"/>
      <c r="J17" s="575"/>
      <c r="K17" s="611"/>
      <c r="L17" s="575"/>
      <c r="M17" s="575"/>
      <c r="N17" s="575"/>
      <c r="O17" s="575"/>
      <c r="P17" s="612"/>
      <c r="Q17" s="575" t="s">
        <v>2215</v>
      </c>
      <c r="R17" s="575"/>
      <c r="S17" s="575" t="s">
        <v>863</v>
      </c>
      <c r="T17" s="613"/>
      <c r="U17" s="575"/>
      <c r="V17" s="614"/>
      <c r="W17" s="614"/>
      <c r="X17" s="232"/>
      <c r="Y17" s="615"/>
      <c r="Z17" s="575"/>
      <c r="AA17" s="616"/>
      <c r="AB17" s="575"/>
      <c r="AC17" s="613"/>
      <c r="AD17" s="613"/>
    </row>
    <row r="18" spans="1:30" s="224" customFormat="1" ht="13.5" customHeight="1">
      <c r="A18" s="225">
        <v>10</v>
      </c>
      <c r="B18" s="217" t="s">
        <v>2223</v>
      </c>
      <c r="C18" s="610"/>
      <c r="D18" s="241"/>
      <c r="E18" s="241"/>
      <c r="F18" s="241"/>
      <c r="G18" s="241"/>
      <c r="H18" s="575" t="s">
        <v>2224</v>
      </c>
      <c r="I18" s="611"/>
      <c r="J18" s="575"/>
      <c r="K18" s="611"/>
      <c r="L18" s="575"/>
      <c r="M18" s="575"/>
      <c r="N18" s="575"/>
      <c r="O18" s="575"/>
      <c r="P18" s="612"/>
      <c r="Q18" s="575" t="s">
        <v>2215</v>
      </c>
      <c r="R18" s="575"/>
      <c r="S18" s="575" t="s">
        <v>863</v>
      </c>
      <c r="T18" s="613"/>
      <c r="U18" s="575"/>
      <c r="V18" s="614"/>
      <c r="W18" s="614"/>
      <c r="X18" s="232"/>
      <c r="Y18" s="615"/>
      <c r="Z18" s="575"/>
      <c r="AA18" s="616"/>
      <c r="AB18" s="575"/>
      <c r="AC18" s="613"/>
      <c r="AD18" s="613"/>
    </row>
    <row r="19" spans="1:30" s="224" customFormat="1" ht="13.5" customHeight="1">
      <c r="A19" s="225">
        <v>11</v>
      </c>
      <c r="B19" s="217" t="s">
        <v>2225</v>
      </c>
      <c r="C19" s="610"/>
      <c r="D19" s="241"/>
      <c r="E19" s="241"/>
      <c r="F19" s="241"/>
      <c r="G19" s="241"/>
      <c r="H19" s="575" t="s">
        <v>2226</v>
      </c>
      <c r="I19" s="611"/>
      <c r="J19" s="575"/>
      <c r="K19" s="611"/>
      <c r="L19" s="575"/>
      <c r="M19" s="575"/>
      <c r="N19" s="575"/>
      <c r="O19" s="575"/>
      <c r="P19" s="612"/>
      <c r="Q19" s="575" t="s">
        <v>2215</v>
      </c>
      <c r="R19" s="575"/>
      <c r="S19" s="575" t="s">
        <v>863</v>
      </c>
      <c r="T19" s="613"/>
      <c r="U19" s="575"/>
      <c r="V19" s="614"/>
      <c r="W19" s="614"/>
      <c r="X19" s="232"/>
      <c r="Y19" s="615"/>
      <c r="Z19" s="575"/>
      <c r="AA19" s="616"/>
      <c r="AB19" s="575"/>
      <c r="AC19" s="613"/>
      <c r="AD19" s="613"/>
    </row>
    <row r="20" spans="1:30" s="224" customFormat="1" ht="13.5" customHeight="1">
      <c r="A20" s="225">
        <v>12</v>
      </c>
      <c r="B20" s="569" t="s">
        <v>1568</v>
      </c>
      <c r="C20" s="610"/>
      <c r="D20" s="241"/>
      <c r="E20" s="241"/>
      <c r="F20" s="241"/>
      <c r="G20" s="241"/>
      <c r="H20" s="575" t="s">
        <v>2227</v>
      </c>
      <c r="I20" s="611"/>
      <c r="J20" s="575"/>
      <c r="K20" s="611"/>
      <c r="L20" s="575"/>
      <c r="M20" s="575"/>
      <c r="N20" s="575"/>
      <c r="O20" s="575"/>
      <c r="P20" s="612"/>
      <c r="Q20" s="575" t="s">
        <v>2215</v>
      </c>
      <c r="R20" s="575"/>
      <c r="S20" s="575" t="s">
        <v>863</v>
      </c>
      <c r="T20" s="613"/>
      <c r="U20" s="575"/>
      <c r="V20" s="614"/>
      <c r="W20" s="614"/>
      <c r="X20" s="232"/>
      <c r="Y20" s="615"/>
      <c r="Z20" s="575"/>
      <c r="AA20" s="616"/>
      <c r="AB20" s="575"/>
      <c r="AC20" s="613"/>
      <c r="AD20" s="613"/>
    </row>
    <row r="21" spans="1:30" s="224" customFormat="1" ht="13.5" customHeight="1">
      <c r="A21" s="225">
        <v>13</v>
      </c>
      <c r="B21" s="569" t="s">
        <v>2228</v>
      </c>
      <c r="C21" s="610"/>
      <c r="D21" s="241"/>
      <c r="E21" s="241"/>
      <c r="F21" s="241"/>
      <c r="G21" s="241"/>
      <c r="H21" s="575" t="s">
        <v>2229</v>
      </c>
      <c r="I21" s="611"/>
      <c r="J21" s="575"/>
      <c r="K21" s="611"/>
      <c r="L21" s="575"/>
      <c r="M21" s="575"/>
      <c r="N21" s="575"/>
      <c r="O21" s="575"/>
      <c r="P21" s="612"/>
      <c r="Q21" s="575" t="s">
        <v>2215</v>
      </c>
      <c r="R21" s="575"/>
      <c r="S21" s="575" t="s">
        <v>2230</v>
      </c>
      <c r="T21" s="613"/>
      <c r="U21" s="575"/>
      <c r="V21" s="614"/>
      <c r="W21" s="614"/>
      <c r="X21" s="232"/>
      <c r="Y21" s="615"/>
      <c r="Z21" s="575"/>
      <c r="AA21" s="616"/>
      <c r="AB21" s="575"/>
      <c r="AC21" s="613"/>
      <c r="AD21" s="613"/>
    </row>
    <row r="22" spans="1:30" s="224" customFormat="1" ht="13.5" customHeight="1">
      <c r="A22" s="225">
        <v>14</v>
      </c>
      <c r="B22" s="569" t="s">
        <v>2231</v>
      </c>
      <c r="C22" s="610"/>
      <c r="D22" s="241"/>
      <c r="E22" s="241"/>
      <c r="F22" s="241"/>
      <c r="G22" s="241"/>
      <c r="H22" s="575" t="s">
        <v>2229</v>
      </c>
      <c r="I22" s="611"/>
      <c r="J22" s="575"/>
      <c r="K22" s="611"/>
      <c r="L22" s="575"/>
      <c r="M22" s="575"/>
      <c r="N22" s="575"/>
      <c r="O22" s="575"/>
      <c r="P22" s="612"/>
      <c r="Q22" s="575" t="s">
        <v>2215</v>
      </c>
      <c r="R22" s="575"/>
      <c r="S22" s="575" t="s">
        <v>2230</v>
      </c>
      <c r="T22" s="613"/>
      <c r="U22" s="575"/>
      <c r="V22" s="614"/>
      <c r="W22" s="614"/>
      <c r="X22" s="232"/>
      <c r="Y22" s="615"/>
      <c r="Z22" s="575"/>
      <c r="AA22" s="616"/>
      <c r="AB22" s="575"/>
      <c r="AC22" s="613"/>
      <c r="AD22" s="613"/>
    </row>
    <row r="23" spans="1:30" s="224" customFormat="1" ht="13.5" customHeight="1">
      <c r="A23" s="225">
        <v>15</v>
      </c>
      <c r="B23" s="217" t="s">
        <v>2232</v>
      </c>
      <c r="C23" s="610"/>
      <c r="D23" s="241"/>
      <c r="E23" s="241"/>
      <c r="F23" s="241"/>
      <c r="G23" s="241"/>
      <c r="H23" s="575" t="s">
        <v>2233</v>
      </c>
      <c r="I23" s="611"/>
      <c r="J23" s="575"/>
      <c r="K23" s="611"/>
      <c r="L23" s="575"/>
      <c r="M23" s="575"/>
      <c r="N23" s="575"/>
      <c r="O23" s="575"/>
      <c r="P23" s="612"/>
      <c r="Q23" s="575" t="s">
        <v>2215</v>
      </c>
      <c r="R23" s="575"/>
      <c r="S23" s="575" t="s">
        <v>863</v>
      </c>
      <c r="T23" s="613"/>
      <c r="U23" s="575"/>
      <c r="V23" s="614"/>
      <c r="W23" s="614"/>
      <c r="X23" s="232"/>
      <c r="Y23" s="615"/>
      <c r="Z23" s="575"/>
      <c r="AA23" s="616"/>
      <c r="AB23" s="575"/>
      <c r="AC23" s="613"/>
      <c r="AD23" s="613"/>
    </row>
    <row r="24" spans="1:30" s="224" customFormat="1" ht="13.5" customHeight="1">
      <c r="A24" s="225">
        <v>16</v>
      </c>
      <c r="B24" s="217" t="s">
        <v>2234</v>
      </c>
      <c r="C24" s="610"/>
      <c r="D24" s="241"/>
      <c r="E24" s="241"/>
      <c r="F24" s="241"/>
      <c r="G24" s="241"/>
      <c r="H24" s="575" t="s">
        <v>2235</v>
      </c>
      <c r="I24" s="611"/>
      <c r="J24" s="575"/>
      <c r="K24" s="611"/>
      <c r="L24" s="575"/>
      <c r="M24" s="575"/>
      <c r="N24" s="575"/>
      <c r="O24" s="575"/>
      <c r="P24" s="612"/>
      <c r="Q24" s="575" t="s">
        <v>2215</v>
      </c>
      <c r="R24" s="575"/>
      <c r="S24" s="575" t="s">
        <v>863</v>
      </c>
      <c r="T24" s="613"/>
      <c r="U24" s="575"/>
      <c r="V24" s="614"/>
      <c r="W24" s="614"/>
      <c r="X24" s="232"/>
      <c r="Y24" s="615"/>
      <c r="Z24" s="575"/>
      <c r="AA24" s="616"/>
      <c r="AB24" s="575"/>
      <c r="AC24" s="613"/>
      <c r="AD24" s="613"/>
    </row>
    <row r="25" spans="1:30" s="224" customFormat="1" ht="13.5" customHeight="1">
      <c r="A25" s="225">
        <v>17</v>
      </c>
      <c r="B25" s="217" t="s">
        <v>2236</v>
      </c>
      <c r="C25" s="610"/>
      <c r="D25" s="241"/>
      <c r="E25" s="241"/>
      <c r="F25" s="241"/>
      <c r="G25" s="241"/>
      <c r="H25" s="575" t="s">
        <v>2237</v>
      </c>
      <c r="I25" s="611"/>
      <c r="J25" s="575"/>
      <c r="K25" s="611"/>
      <c r="L25" s="575"/>
      <c r="M25" s="575"/>
      <c r="N25" s="575"/>
      <c r="O25" s="575"/>
      <c r="P25" s="612"/>
      <c r="Q25" s="575" t="s">
        <v>2215</v>
      </c>
      <c r="R25" s="575"/>
      <c r="S25" s="575" t="s">
        <v>863</v>
      </c>
      <c r="T25" s="613"/>
      <c r="U25" s="575"/>
      <c r="V25" s="614"/>
      <c r="W25" s="614"/>
      <c r="X25" s="232"/>
      <c r="Y25" s="615"/>
      <c r="Z25" s="575"/>
      <c r="AA25" s="616"/>
      <c r="AB25" s="575"/>
      <c r="AC25" s="613"/>
      <c r="AD25" s="613"/>
    </row>
    <row r="26" spans="1:30" s="224" customFormat="1" ht="13.5" customHeight="1">
      <c r="A26" s="225">
        <v>18</v>
      </c>
      <c r="B26" s="217" t="s">
        <v>2238</v>
      </c>
      <c r="C26" s="610"/>
      <c r="D26" s="241"/>
      <c r="E26" s="241"/>
      <c r="F26" s="241"/>
      <c r="G26" s="241"/>
      <c r="H26" s="575" t="s">
        <v>2239</v>
      </c>
      <c r="I26" s="611"/>
      <c r="J26" s="575"/>
      <c r="K26" s="611"/>
      <c r="L26" s="575"/>
      <c r="M26" s="575"/>
      <c r="N26" s="575"/>
      <c r="O26" s="575"/>
      <c r="P26" s="612"/>
      <c r="Q26" s="575" t="s">
        <v>2215</v>
      </c>
      <c r="R26" s="575"/>
      <c r="S26" s="575"/>
      <c r="T26" s="613"/>
      <c r="U26" s="575"/>
      <c r="V26" s="614"/>
      <c r="W26" s="614"/>
      <c r="X26" s="232"/>
      <c r="Y26" s="615"/>
      <c r="Z26" s="575"/>
      <c r="AA26" s="616"/>
      <c r="AB26" s="575"/>
      <c r="AC26" s="613"/>
      <c r="AD26" s="613"/>
    </row>
    <row r="27" spans="1:30" s="224" customFormat="1" ht="13.5" customHeight="1">
      <c r="A27" s="225">
        <v>19</v>
      </c>
      <c r="B27" s="217" t="s">
        <v>2240</v>
      </c>
      <c r="C27" s="610"/>
      <c r="D27" s="241"/>
      <c r="E27" s="241"/>
      <c r="F27" s="241"/>
      <c r="G27" s="241"/>
      <c r="H27" s="575" t="s">
        <v>2241</v>
      </c>
      <c r="I27" s="611"/>
      <c r="J27" s="575"/>
      <c r="K27" s="611"/>
      <c r="L27" s="575"/>
      <c r="M27" s="575"/>
      <c r="N27" s="575"/>
      <c r="O27" s="575"/>
      <c r="P27" s="612"/>
      <c r="Q27" s="575" t="s">
        <v>2215</v>
      </c>
      <c r="R27" s="575"/>
      <c r="S27" s="575" t="s">
        <v>863</v>
      </c>
      <c r="T27" s="613"/>
      <c r="U27" s="263"/>
      <c r="V27" s="614"/>
      <c r="W27" s="614"/>
      <c r="X27" s="232"/>
      <c r="Y27" s="615"/>
      <c r="Z27" s="575"/>
      <c r="AA27" s="616"/>
      <c r="AB27" s="575"/>
      <c r="AC27" s="613"/>
      <c r="AD27" s="613"/>
    </row>
    <row r="28" spans="1:30" s="224" customFormat="1" ht="13.5" customHeight="1">
      <c r="A28" s="225">
        <v>20</v>
      </c>
      <c r="B28" s="217" t="s">
        <v>2242</v>
      </c>
      <c r="C28" s="610"/>
      <c r="D28" s="241"/>
      <c r="E28" s="241"/>
      <c r="F28" s="241"/>
      <c r="G28" s="241"/>
      <c r="H28" s="263" t="s">
        <v>2243</v>
      </c>
      <c r="I28" s="611"/>
      <c r="J28" s="575"/>
      <c r="K28" s="575"/>
      <c r="L28" s="575"/>
      <c r="M28" s="575"/>
      <c r="N28" s="575"/>
      <c r="O28" s="575"/>
      <c r="P28" s="612"/>
      <c r="Q28" s="575" t="s">
        <v>2215</v>
      </c>
      <c r="R28" s="575"/>
      <c r="S28" s="243" t="s">
        <v>863</v>
      </c>
      <c r="T28" s="613"/>
      <c r="U28" s="575"/>
      <c r="V28" s="614"/>
      <c r="W28" s="614"/>
      <c r="X28" s="232"/>
      <c r="Y28" s="615"/>
      <c r="Z28" s="575"/>
      <c r="AA28" s="616"/>
      <c r="AB28" s="575"/>
      <c r="AC28" s="613"/>
      <c r="AD28" s="613"/>
    </row>
    <row r="29" spans="1:30" s="224" customFormat="1" ht="13.5" customHeight="1">
      <c r="A29" s="225">
        <v>21</v>
      </c>
      <c r="B29" s="217" t="s">
        <v>767</v>
      </c>
      <c r="C29" s="610"/>
      <c r="D29" s="241"/>
      <c r="E29" s="241"/>
      <c r="F29" s="241"/>
      <c r="G29" s="241"/>
      <c r="H29" s="575"/>
      <c r="I29" s="611"/>
      <c r="J29" s="575"/>
      <c r="K29" s="611"/>
      <c r="L29" s="575"/>
      <c r="M29" s="575"/>
      <c r="N29" s="575"/>
      <c r="O29" s="575"/>
      <c r="P29" s="612"/>
      <c r="Q29" s="575" t="s">
        <v>2215</v>
      </c>
      <c r="R29" s="575"/>
      <c r="S29" s="575" t="s">
        <v>863</v>
      </c>
      <c r="T29" s="613"/>
      <c r="U29" s="575"/>
      <c r="V29" s="614"/>
      <c r="W29" s="614"/>
      <c r="X29" s="232"/>
      <c r="Y29" s="615"/>
      <c r="Z29" s="575"/>
      <c r="AA29" s="616"/>
      <c r="AB29" s="575"/>
      <c r="AC29" s="613"/>
      <c r="AD29" s="613"/>
    </row>
    <row r="30" spans="1:30" s="224" customFormat="1" ht="13.5" customHeight="1">
      <c r="A30" s="225">
        <v>22</v>
      </c>
      <c r="B30" s="569" t="s">
        <v>2244</v>
      </c>
      <c r="C30" s="610"/>
      <c r="D30" s="241"/>
      <c r="E30" s="241"/>
      <c r="F30" s="241"/>
      <c r="G30" s="241"/>
      <c r="H30" s="575" t="s">
        <v>2245</v>
      </c>
      <c r="I30" s="611"/>
      <c r="J30" s="575"/>
      <c r="K30" s="611"/>
      <c r="L30" s="575"/>
      <c r="M30" s="575"/>
      <c r="N30" s="575"/>
      <c r="O30" s="575"/>
      <c r="P30" s="612"/>
      <c r="Q30" s="575" t="s">
        <v>2215</v>
      </c>
      <c r="R30" s="575"/>
      <c r="S30" s="575" t="s">
        <v>863</v>
      </c>
      <c r="T30" s="613"/>
      <c r="U30" s="575"/>
      <c r="V30" s="614"/>
      <c r="W30" s="614"/>
      <c r="X30" s="232"/>
      <c r="Y30" s="615"/>
      <c r="Z30" s="575"/>
      <c r="AA30" s="616"/>
      <c r="AB30" s="575"/>
      <c r="AC30" s="613"/>
      <c r="AD30" s="613"/>
    </row>
    <row r="31" spans="1:30" s="224" customFormat="1" ht="13.5" customHeight="1">
      <c r="A31" s="225">
        <v>23</v>
      </c>
      <c r="B31" s="569" t="s">
        <v>2246</v>
      </c>
      <c r="C31" s="610"/>
      <c r="D31" s="241"/>
      <c r="E31" s="241"/>
      <c r="F31" s="241"/>
      <c r="G31" s="241"/>
      <c r="H31" s="575" t="s">
        <v>2247</v>
      </c>
      <c r="I31" s="611"/>
      <c r="J31" s="575"/>
      <c r="K31" s="611"/>
      <c r="L31" s="575"/>
      <c r="M31" s="575"/>
      <c r="N31" s="575"/>
      <c r="O31" s="575"/>
      <c r="P31" s="612"/>
      <c r="Q31" s="575" t="s">
        <v>2215</v>
      </c>
      <c r="R31" s="575"/>
      <c r="S31" s="575" t="s">
        <v>863</v>
      </c>
      <c r="T31" s="613"/>
      <c r="U31" s="575"/>
      <c r="V31" s="614"/>
      <c r="W31" s="614"/>
      <c r="X31" s="232"/>
      <c r="Y31" s="615"/>
      <c r="Z31" s="575"/>
      <c r="AA31" s="616"/>
      <c r="AB31" s="575"/>
      <c r="AC31" s="613"/>
      <c r="AD31" s="613"/>
    </row>
    <row r="32" spans="1:30" s="224" customFormat="1" ht="13.5" customHeight="1">
      <c r="A32" s="225">
        <v>24</v>
      </c>
      <c r="B32" s="569" t="s">
        <v>2248</v>
      </c>
      <c r="C32" s="610"/>
      <c r="D32" s="241"/>
      <c r="E32" s="241"/>
      <c r="F32" s="241"/>
      <c r="G32" s="241"/>
      <c r="H32" s="575" t="s">
        <v>2249</v>
      </c>
      <c r="I32" s="611"/>
      <c r="J32" s="575"/>
      <c r="K32" s="611"/>
      <c r="L32" s="575"/>
      <c r="M32" s="575"/>
      <c r="N32" s="575"/>
      <c r="O32" s="575"/>
      <c r="P32" s="612"/>
      <c r="Q32" s="575" t="s">
        <v>2215</v>
      </c>
      <c r="R32" s="575"/>
      <c r="S32" s="575" t="s">
        <v>2124</v>
      </c>
      <c r="T32" s="613"/>
      <c r="U32" s="575"/>
      <c r="V32" s="614"/>
      <c r="W32" s="614"/>
      <c r="X32" s="232"/>
      <c r="Y32" s="615"/>
      <c r="Z32" s="575"/>
      <c r="AA32" s="616"/>
      <c r="AB32" s="575"/>
      <c r="AC32" s="613"/>
      <c r="AD32" s="613"/>
    </row>
    <row r="33" spans="1:1017" s="224" customFormat="1" ht="13.5" customHeight="1">
      <c r="A33" s="225">
        <v>25</v>
      </c>
      <c r="B33" s="569" t="s">
        <v>2250</v>
      </c>
      <c r="C33" s="610"/>
      <c r="D33" s="241"/>
      <c r="E33" s="241"/>
      <c r="F33" s="241"/>
      <c r="G33" s="241"/>
      <c r="H33" s="575" t="s">
        <v>2251</v>
      </c>
      <c r="I33" s="611"/>
      <c r="J33" s="575"/>
      <c r="K33" s="611"/>
      <c r="L33" s="575"/>
      <c r="M33" s="575"/>
      <c r="N33" s="575"/>
      <c r="O33" s="575"/>
      <c r="P33" s="612"/>
      <c r="Q33" s="575" t="s">
        <v>2215</v>
      </c>
      <c r="R33" s="575"/>
      <c r="S33" s="575" t="s">
        <v>2124</v>
      </c>
      <c r="T33" s="613"/>
      <c r="U33" s="575"/>
      <c r="V33" s="614"/>
      <c r="W33" s="614"/>
      <c r="X33" s="232"/>
      <c r="Y33" s="615"/>
      <c r="Z33" s="575"/>
      <c r="AA33" s="616"/>
      <c r="AB33" s="575"/>
      <c r="AC33" s="613"/>
      <c r="AD33" s="613"/>
    </row>
    <row r="34" spans="1:1017" s="224" customFormat="1" ht="13.5" customHeight="1">
      <c r="A34" s="225">
        <v>26</v>
      </c>
      <c r="B34" s="569" t="s">
        <v>2177</v>
      </c>
      <c r="C34" s="610"/>
      <c r="D34" s="241"/>
      <c r="E34" s="241"/>
      <c r="F34" s="241"/>
      <c r="G34" s="241"/>
      <c r="H34" s="575" t="s">
        <v>2178</v>
      </c>
      <c r="I34" s="611"/>
      <c r="J34" s="575"/>
      <c r="K34" s="611"/>
      <c r="L34" s="575"/>
      <c r="M34" s="575"/>
      <c r="N34" s="575"/>
      <c r="O34" s="575"/>
      <c r="P34" s="612"/>
      <c r="Q34" s="575" t="s">
        <v>2215</v>
      </c>
      <c r="R34" s="575"/>
      <c r="S34" s="575" t="s">
        <v>2124</v>
      </c>
      <c r="T34" s="613"/>
      <c r="U34" s="575"/>
      <c r="V34" s="614"/>
      <c r="W34" s="614"/>
      <c r="X34" s="232"/>
      <c r="Y34" s="615"/>
      <c r="Z34" s="575"/>
      <c r="AA34" s="616"/>
      <c r="AB34" s="575"/>
      <c r="AC34" s="613"/>
      <c r="AD34" s="613"/>
    </row>
    <row r="35" spans="1:1017" s="224" customFormat="1" ht="13.5" customHeight="1">
      <c r="A35" s="225">
        <v>27</v>
      </c>
      <c r="B35" s="569" t="s">
        <v>2179</v>
      </c>
      <c r="C35" s="610"/>
      <c r="D35" s="241"/>
      <c r="E35" s="241"/>
      <c r="F35" s="241"/>
      <c r="G35" s="241"/>
      <c r="H35" s="575" t="s">
        <v>2180</v>
      </c>
      <c r="I35" s="611"/>
      <c r="J35" s="575"/>
      <c r="K35" s="611"/>
      <c r="L35" s="575"/>
      <c r="M35" s="575"/>
      <c r="N35" s="575"/>
      <c r="O35" s="575"/>
      <c r="P35" s="612"/>
      <c r="Q35" s="575" t="s">
        <v>2215</v>
      </c>
      <c r="R35" s="575"/>
      <c r="S35" s="575" t="s">
        <v>2124</v>
      </c>
      <c r="T35" s="613"/>
      <c r="U35" s="575"/>
      <c r="V35" s="614"/>
      <c r="W35" s="614"/>
      <c r="X35" s="232"/>
      <c r="Y35" s="615"/>
      <c r="Z35" s="575"/>
      <c r="AA35" s="616"/>
      <c r="AB35" s="575"/>
      <c r="AC35" s="613"/>
      <c r="AD35" s="613"/>
    </row>
    <row r="36" spans="1:1017" s="224" customFormat="1" ht="13.5" customHeight="1">
      <c r="A36" s="225">
        <v>28</v>
      </c>
      <c r="B36" s="569" t="s">
        <v>2181</v>
      </c>
      <c r="C36" s="610"/>
      <c r="D36" s="241"/>
      <c r="E36" s="241"/>
      <c r="F36" s="241"/>
      <c r="G36" s="241"/>
      <c r="H36" s="263" t="s">
        <v>2182</v>
      </c>
      <c r="I36" s="611"/>
      <c r="J36" s="575"/>
      <c r="K36" s="575"/>
      <c r="L36" s="575"/>
      <c r="M36" s="575"/>
      <c r="N36" s="575"/>
      <c r="O36" s="575"/>
      <c r="P36" s="612"/>
      <c r="Q36" s="575" t="s">
        <v>2215</v>
      </c>
      <c r="R36" s="575"/>
      <c r="S36" s="575" t="s">
        <v>2124</v>
      </c>
      <c r="T36" s="613"/>
      <c r="U36" s="575"/>
      <c r="V36" s="614"/>
      <c r="W36" s="614"/>
      <c r="X36" s="232"/>
      <c r="Y36" s="615"/>
      <c r="Z36" s="266"/>
      <c r="AA36" s="616"/>
      <c r="AB36" s="575"/>
      <c r="AC36" s="613"/>
      <c r="AD36" s="613"/>
    </row>
    <row r="37" spans="1:1017" s="224" customFormat="1" ht="13.5" customHeight="1">
      <c r="A37" s="225">
        <v>29</v>
      </c>
      <c r="B37" s="569" t="s">
        <v>2183</v>
      </c>
      <c r="C37" s="610"/>
      <c r="D37" s="241"/>
      <c r="E37" s="241"/>
      <c r="F37" s="241"/>
      <c r="G37" s="241"/>
      <c r="H37" s="575" t="s">
        <v>2184</v>
      </c>
      <c r="I37" s="611"/>
      <c r="J37" s="575"/>
      <c r="K37" s="575"/>
      <c r="L37" s="575"/>
      <c r="M37" s="575"/>
      <c r="N37" s="575"/>
      <c r="O37" s="575"/>
      <c r="P37" s="612"/>
      <c r="Q37" s="575" t="s">
        <v>2215</v>
      </c>
      <c r="R37" s="575"/>
      <c r="S37" s="575" t="s">
        <v>2124</v>
      </c>
      <c r="T37" s="613"/>
      <c r="U37" s="575"/>
      <c r="V37" s="614"/>
      <c r="W37" s="614"/>
      <c r="X37" s="232"/>
      <c r="Y37" s="615"/>
      <c r="Z37" s="266"/>
      <c r="AA37" s="616"/>
      <c r="AB37" s="575"/>
      <c r="AC37" s="613"/>
      <c r="AD37" s="613"/>
    </row>
    <row r="38" spans="1:1017" s="224" customFormat="1" ht="13.5" customHeight="1">
      <c r="A38" s="225">
        <v>30</v>
      </c>
      <c r="B38" s="569" t="s">
        <v>2185</v>
      </c>
      <c r="C38" s="610"/>
      <c r="D38" s="610"/>
      <c r="E38" s="241"/>
      <c r="F38" s="241"/>
      <c r="G38" s="241"/>
      <c r="H38" s="263" t="s">
        <v>2186</v>
      </c>
      <c r="I38" s="611"/>
      <c r="J38" s="575"/>
      <c r="K38" s="611"/>
      <c r="L38" s="575"/>
      <c r="M38" s="575"/>
      <c r="N38" s="575"/>
      <c r="O38" s="575"/>
      <c r="P38" s="612"/>
      <c r="Q38" s="575" t="s">
        <v>2215</v>
      </c>
      <c r="R38" s="575"/>
      <c r="S38" s="575" t="s">
        <v>2124</v>
      </c>
      <c r="T38" s="374"/>
      <c r="U38" s="374"/>
      <c r="V38" s="614"/>
      <c r="W38" s="614"/>
      <c r="X38" s="232"/>
      <c r="Y38" s="387"/>
      <c r="Z38" s="575"/>
      <c r="AA38" s="616"/>
      <c r="AB38" s="575"/>
      <c r="AC38" s="613"/>
      <c r="AD38" s="613"/>
    </row>
    <row r="39" spans="1:1017" s="224" customFormat="1" ht="13.5" customHeight="1">
      <c r="A39" s="225">
        <v>31</v>
      </c>
      <c r="B39" s="569" t="s">
        <v>2187</v>
      </c>
      <c r="C39" s="610"/>
      <c r="D39" s="610"/>
      <c r="E39" s="241"/>
      <c r="F39" s="241"/>
      <c r="G39" s="241"/>
      <c r="H39" s="575" t="s">
        <v>2188</v>
      </c>
      <c r="I39" s="611"/>
      <c r="J39" s="575"/>
      <c r="K39" s="611"/>
      <c r="L39" s="575"/>
      <c r="M39" s="575"/>
      <c r="N39" s="575"/>
      <c r="O39" s="575"/>
      <c r="P39" s="612"/>
      <c r="Q39" s="575" t="s">
        <v>2215</v>
      </c>
      <c r="R39" s="575"/>
      <c r="S39" s="575" t="s">
        <v>2124</v>
      </c>
      <c r="T39" s="613"/>
      <c r="U39" s="263"/>
      <c r="V39" s="614"/>
      <c r="W39" s="614"/>
      <c r="X39" s="232"/>
      <c r="Y39" s="392"/>
      <c r="Z39" s="263"/>
      <c r="AA39" s="616"/>
      <c r="AB39" s="575"/>
      <c r="AC39" s="613"/>
      <c r="AD39" s="613"/>
    </row>
    <row r="40" spans="1:1017" s="224" customFormat="1" ht="13.5" customHeight="1">
      <c r="A40" s="225">
        <v>32</v>
      </c>
      <c r="B40" s="569" t="s">
        <v>2189</v>
      </c>
      <c r="C40" s="610"/>
      <c r="D40" s="241"/>
      <c r="E40" s="241"/>
      <c r="F40" s="241"/>
      <c r="G40" s="241"/>
      <c r="H40" s="575" t="s">
        <v>2190</v>
      </c>
      <c r="I40" s="611"/>
      <c r="J40" s="575"/>
      <c r="K40" s="611"/>
      <c r="L40" s="575"/>
      <c r="M40" s="575"/>
      <c r="N40" s="575"/>
      <c r="O40" s="575"/>
      <c r="P40" s="612"/>
      <c r="Q40" s="575" t="s">
        <v>2215</v>
      </c>
      <c r="R40" s="575"/>
      <c r="S40" s="575" t="s">
        <v>2124</v>
      </c>
      <c r="T40" s="613"/>
      <c r="U40" s="575"/>
      <c r="V40" s="614"/>
      <c r="W40" s="614"/>
      <c r="X40" s="232"/>
      <c r="Y40" s="615"/>
      <c r="Z40" s="575"/>
      <c r="AA40" s="616"/>
      <c r="AB40" s="575"/>
      <c r="AC40" s="613"/>
      <c r="AD40" s="613"/>
    </row>
    <row r="41" spans="1:1017" s="224" customFormat="1" ht="12" customHeight="1">
      <c r="A41" s="225">
        <f>SUBTOTAL(103,createCase2[ID])</f>
        <v>32</v>
      </c>
      <c r="C41" s="225">
        <f>SUBTOTAL(103,createCase2[Donnée (Niveau 2)])</f>
        <v>0</v>
      </c>
      <c r="D41" s="225">
        <f>SUBTOTAL(103,createCase2[Donnée (Niveau 3)])</f>
        <v>0</v>
      </c>
      <c r="E41" s="225">
        <f>SUBTOTAL(103,createCase2[Donnée (Niveau 4)])</f>
        <v>0</v>
      </c>
      <c r="F41" s="225">
        <f>SUBTOTAL(103,createCase2[Donnée (Niveau 5)])</f>
        <v>0</v>
      </c>
      <c r="G41" s="225">
        <f>SUBTOTAL(103,createCase2[Donnée (Niveau 6)])</f>
        <v>0</v>
      </c>
      <c r="H41" s="225">
        <f>SUBTOTAL(103,createCase2[Description])</f>
        <v>31</v>
      </c>
      <c r="I41" s="225">
        <f>SUBTOTAL(103,createCase2[Exemples])</f>
        <v>0</v>
      </c>
      <c r="J41" s="225">
        <f>SUBTOTAL(103,createCase2[Balise NexSIS])</f>
        <v>0</v>
      </c>
      <c r="K41" s="239">
        <f>SUBTOTAL(103,createCase2[Nouvelle balise])</f>
        <v>0</v>
      </c>
      <c r="L41" s="225">
        <f>SUBTOTAL(103,createCase2[Nantes - balise])</f>
        <v>0</v>
      </c>
      <c r="M41" s="225">
        <f>SUBTOTAL(103,createCase2[Nantes - description])</f>
        <v>0</v>
      </c>
      <c r="N41" s="225">
        <f>SUBTOTAL(103,createCase2[GT399])</f>
        <v>0</v>
      </c>
      <c r="O41" s="225">
        <f>SUBTOTAL(103,createCase2[GT399 description])</f>
        <v>0</v>
      </c>
      <c r="P41" s="234">
        <f>SUBTOTAL(103,createCase2[Priorisation])</f>
        <v>0</v>
      </c>
      <c r="Q41" s="225"/>
      <c r="R41" s="225">
        <f>SUBTOTAL(103,createCase2[Objet])</f>
        <v>0</v>
      </c>
      <c r="S41" s="225">
        <f>SUBTOTAL(103,createCase2[Format (ou type)])</f>
        <v>28</v>
      </c>
      <c r="T41" s="274"/>
      <c r="U41" s="225"/>
      <c r="V41" s="225"/>
      <c r="W41" s="225"/>
      <c r="Y41" s="271">
        <f>SUBTOTAL(103,createCase2[Commentaire Hub Santé])</f>
        <v>0</v>
      </c>
      <c r="Z41" s="225">
        <f>SUBTOTAL(103,createCase2[Commentaire Philippe Dreyfus])</f>
        <v>0</v>
      </c>
      <c r="AA41" s="239"/>
      <c r="AB41" s="225">
        <f>SUBTOTAL(103,createCase2[Commentaire Yann Penverne])</f>
        <v>0</v>
      </c>
      <c r="AC41" s="225">
        <f>SUBTOTAL(103,createCase2[NexSIS])-COUNTIFS(createCase2[NexSIS],"=X")</f>
        <v>0</v>
      </c>
      <c r="AD41" s="225">
        <f>SUBTOTAL(103,createCase2[Métier])-COUNTIFS(createCase2[Métier],"=X")</f>
        <v>0</v>
      </c>
    </row>
    <row r="42" spans="1:1017" s="128" customFormat="1" ht="12" customHeight="1">
      <c r="A42" s="3"/>
      <c r="B42" s="3"/>
      <c r="C42" s="131"/>
      <c r="D42" s="131"/>
      <c r="E42" s="131"/>
      <c r="F42" s="131"/>
      <c r="G42" s="5"/>
      <c r="H42" s="155"/>
      <c r="I42" s="225"/>
      <c r="J42" s="5"/>
      <c r="K42" s="155"/>
      <c r="L42" s="5"/>
      <c r="M42" s="5"/>
      <c r="N42" s="5"/>
      <c r="O42" s="5"/>
      <c r="P42" s="188"/>
      <c r="Q42" s="5"/>
      <c r="R42" s="5"/>
      <c r="S42" s="5"/>
      <c r="T42" s="56"/>
      <c r="U42" s="56"/>
      <c r="V42" s="56"/>
      <c r="W42" s="56"/>
      <c r="X42"/>
      <c r="Y42" s="178"/>
      <c r="Z42" s="5"/>
      <c r="AA42" s="159"/>
      <c r="AB42" s="56"/>
      <c r="AD42" s="56"/>
      <c r="AMA42"/>
      <c r="AMB42"/>
      <c r="AMC42"/>
    </row>
    <row r="43" spans="1:1017" s="128" customFormat="1" ht="12" customHeight="1">
      <c r="A43" s="129"/>
      <c r="B43" s="129"/>
      <c r="C43" s="129"/>
      <c r="D43" s="129"/>
      <c r="E43" s="129"/>
      <c r="F43" s="129"/>
      <c r="G43" s="96"/>
      <c r="H43" s="96"/>
      <c r="I43" s="225"/>
      <c r="J43" s="96"/>
      <c r="K43" s="159"/>
      <c r="L43" s="96"/>
      <c r="M43" s="96"/>
      <c r="N43" s="96"/>
      <c r="O43" s="96"/>
      <c r="P43" s="173"/>
      <c r="Q43" s="96"/>
      <c r="R43" s="96"/>
      <c r="S43" s="96"/>
      <c r="T43" s="278"/>
      <c r="U43" s="96"/>
      <c r="V43" s="96"/>
      <c r="W43" s="96"/>
      <c r="X43"/>
      <c r="Y43" s="179"/>
      <c r="Z43" s="96"/>
      <c r="AA43" s="159"/>
      <c r="AB43" s="96"/>
      <c r="AD43" s="96"/>
      <c r="AMA43"/>
      <c r="AMB43"/>
      <c r="AMC43"/>
    </row>
    <row r="44" spans="1:1017" s="128" customFormat="1" ht="12" customHeight="1">
      <c r="I44" s="224"/>
      <c r="P44" s="174"/>
      <c r="R44" s="96"/>
      <c r="S44" s="96"/>
      <c r="T44" s="278"/>
      <c r="U44" s="96"/>
      <c r="V44" s="96"/>
      <c r="W44" s="96"/>
      <c r="X44"/>
      <c r="Y44" s="179"/>
      <c r="Z44" s="96"/>
      <c r="AA44" s="159"/>
      <c r="AB44" s="96"/>
      <c r="AD44" s="96"/>
      <c r="AMA44"/>
      <c r="AMB44"/>
      <c r="AMC44"/>
    </row>
    <row r="45" spans="1:1017" s="128" customFormat="1" ht="12" customHeight="1">
      <c r="I45" s="224"/>
      <c r="P45" s="174"/>
      <c r="R45" s="96"/>
      <c r="S45" s="96"/>
      <c r="T45" s="278"/>
      <c r="U45" s="96"/>
      <c r="V45" s="96"/>
      <c r="W45" s="96"/>
      <c r="X45"/>
      <c r="Y45" s="179"/>
      <c r="Z45" s="96"/>
      <c r="AA45" s="159"/>
      <c r="AB45" s="96"/>
      <c r="AD45" s="96"/>
      <c r="AMA45"/>
      <c r="AMB45"/>
      <c r="AMC45"/>
    </row>
    <row r="46" spans="1:1017" s="128" customFormat="1" ht="12" customHeight="1">
      <c r="I46" s="224"/>
      <c r="P46" s="174"/>
      <c r="R46" s="96"/>
      <c r="S46" s="96"/>
      <c r="T46" s="278"/>
      <c r="U46" s="96"/>
      <c r="V46" s="96"/>
      <c r="W46" s="96"/>
      <c r="X46"/>
      <c r="Y46" s="179"/>
      <c r="Z46" s="96"/>
      <c r="AA46" s="159"/>
      <c r="AB46" s="96"/>
      <c r="AD46" s="96"/>
      <c r="AMA46"/>
      <c r="AMB46"/>
      <c r="AMC46"/>
    </row>
    <row r="47" spans="1:1017" s="128" customFormat="1" ht="12" customHeight="1">
      <c r="I47" s="224"/>
      <c r="P47" s="174"/>
      <c r="R47" s="96"/>
      <c r="S47" s="96"/>
      <c r="T47" s="278"/>
      <c r="U47" s="96"/>
      <c r="V47" s="96"/>
      <c r="W47" s="96"/>
      <c r="X47"/>
      <c r="Y47" s="179"/>
      <c r="Z47" s="96"/>
      <c r="AA47" s="159"/>
      <c r="AB47" s="96"/>
      <c r="AD47" s="96"/>
      <c r="AMA47"/>
      <c r="AMB47"/>
      <c r="AMC47"/>
    </row>
    <row r="48" spans="1:1017" ht="12" customHeight="1">
      <c r="G48" s="128"/>
      <c r="H48" s="128"/>
      <c r="I48" s="224"/>
      <c r="J48" s="128"/>
      <c r="K48" s="128"/>
      <c r="L48" s="128"/>
      <c r="M48" s="128"/>
      <c r="N48" s="128"/>
      <c r="O48" s="128"/>
      <c r="P48" s="174"/>
      <c r="Q48" s="128"/>
    </row>
    <row r="49" spans="1:1016" s="117" customFormat="1" ht="12" customHeight="1">
      <c r="A49" s="128"/>
      <c r="B49" s="128"/>
      <c r="C49" s="128"/>
      <c r="D49" s="128"/>
      <c r="E49" s="128"/>
      <c r="F49" s="128"/>
      <c r="G49" s="96"/>
      <c r="H49" s="96"/>
      <c r="I49" s="225"/>
      <c r="J49" s="96"/>
      <c r="K49" s="159"/>
      <c r="L49" s="96"/>
      <c r="M49" s="96"/>
      <c r="N49" s="96"/>
      <c r="O49" s="96"/>
      <c r="P49" s="173"/>
      <c r="Q49" s="96"/>
      <c r="R49" s="96"/>
      <c r="S49" s="96"/>
      <c r="T49" s="278"/>
      <c r="U49" s="96"/>
      <c r="V49" s="96"/>
      <c r="W49" s="96"/>
      <c r="X49"/>
      <c r="Y49" s="179"/>
      <c r="Z49" s="96"/>
      <c r="AA49" s="161"/>
      <c r="AB49" s="96"/>
      <c r="AD49" s="96"/>
      <c r="AMB49"/>
    </row>
    <row r="50" spans="1:1016" ht="12" customHeight="1">
      <c r="A50" s="117"/>
      <c r="B50" s="117"/>
      <c r="C50" s="117"/>
      <c r="D50" s="117"/>
      <c r="E50" s="117"/>
      <c r="F50" s="117"/>
      <c r="G50" s="117"/>
      <c r="H50" s="117"/>
      <c r="I50" s="251"/>
      <c r="J50" s="117"/>
      <c r="K50" s="117"/>
      <c r="L50" s="117"/>
      <c r="M50" s="117"/>
      <c r="N50" s="117"/>
      <c r="O50" s="117"/>
      <c r="P50" s="189"/>
      <c r="Q50" s="117"/>
    </row>
    <row r="51" spans="1:1016" ht="12" customHeight="1">
      <c r="R51" s="112"/>
      <c r="S51" s="112"/>
      <c r="T51" s="125"/>
      <c r="U51" s="112"/>
      <c r="V51" s="112"/>
      <c r="W51" s="112"/>
      <c r="Y51" s="180"/>
      <c r="Z51" s="112"/>
      <c r="AB51" s="112"/>
      <c r="AD51" s="112"/>
    </row>
    <row r="63" spans="1:1016" ht="12" customHeight="1">
      <c r="A63" s="130"/>
      <c r="B63" s="130"/>
      <c r="C63" s="130"/>
      <c r="D63" s="130"/>
      <c r="E63" s="130"/>
      <c r="F63" s="130"/>
    </row>
    <row r="64" spans="1:1016" ht="12" customHeight="1">
      <c r="A64" s="130"/>
      <c r="B64" s="130"/>
      <c r="C64" s="130"/>
      <c r="D64" s="130"/>
      <c r="E64" s="130"/>
      <c r="F64" s="130"/>
    </row>
    <row r="65" spans="1:1016" ht="12" customHeight="1">
      <c r="A65" s="130"/>
      <c r="B65" s="130"/>
      <c r="C65" s="130"/>
      <c r="D65" s="130"/>
      <c r="E65" s="130"/>
      <c r="F65" s="130"/>
    </row>
    <row r="66" spans="1:1016" ht="12" customHeight="1">
      <c r="A66" s="130"/>
      <c r="B66" s="130"/>
      <c r="C66" s="130"/>
      <c r="D66" s="130"/>
      <c r="E66" s="130"/>
      <c r="F66" s="130"/>
    </row>
    <row r="67" spans="1:1016" ht="12" customHeight="1">
      <c r="A67" s="130"/>
      <c r="B67" s="130"/>
      <c r="C67" s="130"/>
      <c r="D67" s="130"/>
      <c r="E67" s="130"/>
      <c r="F67" s="130"/>
    </row>
    <row r="68" spans="1:1016" ht="12" customHeight="1">
      <c r="A68" s="130"/>
      <c r="B68" s="130"/>
      <c r="C68" s="130"/>
      <c r="D68" s="130"/>
      <c r="E68" s="130"/>
      <c r="F68" s="130"/>
    </row>
    <row r="69" spans="1:1016" ht="12" customHeight="1">
      <c r="A69" s="130"/>
      <c r="B69" s="130"/>
      <c r="C69" s="130"/>
      <c r="D69" s="130"/>
      <c r="E69" s="130"/>
      <c r="F69" s="130"/>
    </row>
    <row r="70" spans="1:1016" ht="12" customHeight="1">
      <c r="A70" s="130"/>
      <c r="B70" s="130"/>
      <c r="C70" s="130"/>
      <c r="D70" s="130"/>
      <c r="E70" s="130"/>
      <c r="F70" s="130"/>
    </row>
    <row r="71" spans="1:1016" ht="12" customHeight="1">
      <c r="A71" s="129"/>
      <c r="B71" s="129"/>
      <c r="C71" s="129"/>
      <c r="D71" s="129"/>
      <c r="E71" s="129"/>
      <c r="F71" s="129"/>
    </row>
    <row r="72" spans="1:1016" ht="12" customHeight="1">
      <c r="A72" s="129"/>
      <c r="B72" s="129"/>
      <c r="C72" s="129"/>
      <c r="D72" s="129"/>
      <c r="E72" s="129"/>
      <c r="F72" s="129"/>
    </row>
    <row r="73" spans="1:1016" ht="12" customHeight="1">
      <c r="A73" s="129"/>
      <c r="B73" s="129"/>
      <c r="C73" s="129"/>
      <c r="D73" s="129"/>
      <c r="E73" s="129"/>
      <c r="F73" s="129"/>
    </row>
    <row r="74" spans="1:1016" ht="12" customHeight="1">
      <c r="A74" s="129"/>
      <c r="B74" s="129"/>
      <c r="C74" s="129"/>
      <c r="D74" s="129"/>
      <c r="E74" s="129"/>
      <c r="F74" s="129"/>
    </row>
    <row r="75" spans="1:1016" ht="12" customHeight="1">
      <c r="A75" s="129"/>
      <c r="B75" s="129"/>
      <c r="C75" s="129"/>
      <c r="D75" s="129"/>
      <c r="E75" s="129"/>
      <c r="F75" s="129"/>
    </row>
    <row r="76" spans="1:1016" ht="12" customHeight="1">
      <c r="A76" s="129"/>
      <c r="B76" s="129"/>
      <c r="C76" s="129"/>
      <c r="D76" s="129"/>
      <c r="E76" s="129"/>
      <c r="F76" s="129"/>
    </row>
    <row r="77" spans="1:1016" ht="12" customHeight="1">
      <c r="A77" s="129"/>
      <c r="B77" s="129"/>
      <c r="C77" s="129"/>
      <c r="D77" s="129"/>
      <c r="E77" s="129"/>
      <c r="F77" s="129"/>
    </row>
    <row r="78" spans="1:1016" s="117" customFormat="1" ht="12" customHeight="1">
      <c r="A78" s="129"/>
      <c r="B78" s="129"/>
      <c r="C78" s="129"/>
      <c r="D78" s="129"/>
      <c r="E78" s="129"/>
      <c r="F78" s="129"/>
      <c r="G78" s="96"/>
      <c r="H78" s="96"/>
      <c r="I78" s="225"/>
      <c r="J78" s="96"/>
      <c r="K78" s="159"/>
      <c r="L78" s="96"/>
      <c r="M78" s="96"/>
      <c r="N78" s="96"/>
      <c r="O78" s="96"/>
      <c r="P78" s="173"/>
      <c r="Q78" s="96"/>
      <c r="R78" s="96"/>
      <c r="S78" s="96"/>
      <c r="T78" s="278"/>
      <c r="U78" s="96"/>
      <c r="V78" s="96"/>
      <c r="W78" s="96"/>
      <c r="X78"/>
      <c r="Y78" s="179"/>
      <c r="Z78" s="96"/>
      <c r="AA78" s="161"/>
      <c r="AB78" s="96"/>
      <c r="AD78" s="96"/>
      <c r="AMB78"/>
    </row>
    <row r="79" spans="1:1016" s="117" customFormat="1" ht="12" customHeight="1">
      <c r="A79" s="130"/>
      <c r="B79" s="130"/>
      <c r="C79" s="130"/>
      <c r="D79" s="130"/>
      <c r="E79" s="130"/>
      <c r="F79" s="130"/>
      <c r="G79" s="96"/>
      <c r="H79" s="96"/>
      <c r="I79" s="225"/>
      <c r="J79" s="96"/>
      <c r="K79" s="159"/>
      <c r="L79" s="96"/>
      <c r="M79" s="96"/>
      <c r="N79" s="96"/>
      <c r="O79" s="96"/>
      <c r="P79" s="173"/>
      <c r="Q79" s="96"/>
      <c r="R79" s="96"/>
      <c r="S79" s="96"/>
      <c r="T79" s="278"/>
      <c r="U79" s="96"/>
      <c r="V79" s="96"/>
      <c r="W79" s="96"/>
      <c r="X79"/>
      <c r="Y79" s="179"/>
      <c r="Z79" s="96"/>
      <c r="AA79" s="161"/>
      <c r="AB79" s="96"/>
      <c r="AD79" s="96"/>
      <c r="AMB79"/>
    </row>
    <row r="80" spans="1:1016" s="117" customFormat="1" ht="12" customHeight="1">
      <c r="A80" s="123"/>
      <c r="B80" s="123"/>
      <c r="C80" s="123"/>
      <c r="D80" s="123"/>
      <c r="E80" s="123"/>
      <c r="F80" s="123"/>
      <c r="G80" s="112"/>
      <c r="H80" s="112"/>
      <c r="I80" s="277"/>
      <c r="J80" s="112"/>
      <c r="K80" s="161"/>
      <c r="L80" s="112"/>
      <c r="M80" s="112"/>
      <c r="N80" s="112"/>
      <c r="O80" s="112"/>
      <c r="P80" s="190"/>
      <c r="Q80" s="112"/>
      <c r="R80" s="112"/>
      <c r="S80" s="112"/>
      <c r="T80" s="125"/>
      <c r="U80" s="112"/>
      <c r="V80" s="112"/>
      <c r="W80" s="112"/>
      <c r="X80"/>
      <c r="Y80" s="180"/>
      <c r="Z80" s="112"/>
      <c r="AA80" s="161"/>
      <c r="AB80" s="112"/>
      <c r="AD80" s="112"/>
      <c r="AMB80"/>
    </row>
    <row r="81" spans="1:1016" s="117" customFormat="1" ht="12" customHeight="1">
      <c r="A81" s="123"/>
      <c r="B81" s="123"/>
      <c r="C81" s="123"/>
      <c r="D81" s="123"/>
      <c r="E81" s="123"/>
      <c r="F81" s="123"/>
      <c r="G81" s="112"/>
      <c r="H81" s="112"/>
      <c r="I81" s="277"/>
      <c r="J81" s="112"/>
      <c r="K81" s="161"/>
      <c r="L81" s="112"/>
      <c r="M81" s="112"/>
      <c r="N81" s="112"/>
      <c r="O81" s="112"/>
      <c r="P81" s="190"/>
      <c r="Q81" s="112"/>
      <c r="R81" s="112"/>
      <c r="S81" s="112"/>
      <c r="T81" s="125"/>
      <c r="U81" s="112"/>
      <c r="V81" s="112"/>
      <c r="W81" s="112"/>
      <c r="X81"/>
      <c r="Y81" s="180"/>
      <c r="Z81" s="112"/>
      <c r="AA81" s="161"/>
      <c r="AB81" s="112"/>
      <c r="AD81" s="112"/>
      <c r="AMB81"/>
    </row>
    <row r="82" spans="1:1016" s="117" customFormat="1" ht="12" customHeight="1">
      <c r="A82" s="123"/>
      <c r="B82" s="123"/>
      <c r="C82" s="123"/>
      <c r="D82" s="123"/>
      <c r="E82" s="123"/>
      <c r="F82" s="123"/>
      <c r="G82" s="112"/>
      <c r="H82" s="112"/>
      <c r="I82" s="277"/>
      <c r="J82" s="112"/>
      <c r="K82" s="161"/>
      <c r="L82" s="112"/>
      <c r="M82" s="112"/>
      <c r="N82" s="112"/>
      <c r="O82" s="112"/>
      <c r="P82" s="190"/>
      <c r="Q82" s="112"/>
      <c r="R82" s="112"/>
      <c r="S82" s="112"/>
      <c r="T82" s="125"/>
      <c r="U82" s="112"/>
      <c r="V82" s="112"/>
      <c r="W82" s="112"/>
      <c r="X82"/>
      <c r="Y82" s="180"/>
      <c r="Z82" s="112"/>
      <c r="AA82" s="161"/>
      <c r="AB82" s="112"/>
      <c r="AD82" s="112"/>
      <c r="AMB82"/>
    </row>
    <row r="83" spans="1:1016" s="117" customFormat="1" ht="12" customHeight="1">
      <c r="A83" s="123"/>
      <c r="B83" s="123"/>
      <c r="C83" s="123"/>
      <c r="D83" s="123"/>
      <c r="E83" s="123"/>
      <c r="F83" s="123"/>
      <c r="G83" s="112"/>
      <c r="H83" s="112"/>
      <c r="I83" s="277"/>
      <c r="J83" s="112"/>
      <c r="K83" s="161"/>
      <c r="L83" s="112"/>
      <c r="M83" s="112"/>
      <c r="N83" s="112"/>
      <c r="O83" s="112"/>
      <c r="P83" s="190"/>
      <c r="Q83" s="112"/>
      <c r="R83" s="112"/>
      <c r="S83" s="112"/>
      <c r="T83" s="125"/>
      <c r="U83" s="112"/>
      <c r="V83" s="112"/>
      <c r="W83" s="112"/>
      <c r="X83"/>
      <c r="Y83" s="180"/>
      <c r="Z83" s="112"/>
      <c r="AA83" s="161"/>
      <c r="AB83" s="112"/>
      <c r="AD83" s="112"/>
      <c r="AMB83"/>
    </row>
    <row r="84" spans="1:1016" s="117" customFormat="1" ht="12" customHeight="1">
      <c r="A84" s="123"/>
      <c r="B84" s="123"/>
      <c r="C84" s="123"/>
      <c r="D84" s="123"/>
      <c r="E84" s="123"/>
      <c r="F84" s="123"/>
      <c r="G84" s="112"/>
      <c r="H84" s="112"/>
      <c r="I84" s="277"/>
      <c r="J84" s="112"/>
      <c r="K84" s="161"/>
      <c r="L84" s="112"/>
      <c r="M84" s="112"/>
      <c r="N84" s="112"/>
      <c r="O84" s="112"/>
      <c r="P84" s="190"/>
      <c r="Q84" s="112"/>
      <c r="R84" s="112"/>
      <c r="S84" s="112"/>
      <c r="T84" s="125"/>
      <c r="U84" s="112"/>
      <c r="V84" s="112"/>
      <c r="W84" s="112"/>
      <c r="X84"/>
      <c r="Y84" s="180"/>
      <c r="Z84" s="112"/>
      <c r="AA84" s="161"/>
      <c r="AB84" s="112"/>
      <c r="AD84" s="112"/>
      <c r="AMB84"/>
    </row>
    <row r="85" spans="1:1016" ht="12" customHeight="1">
      <c r="A85" s="123"/>
      <c r="B85" s="123"/>
      <c r="C85" s="123"/>
      <c r="D85" s="123"/>
      <c r="E85" s="123"/>
      <c r="F85" s="123"/>
      <c r="G85" s="112"/>
      <c r="H85" s="112"/>
      <c r="I85" s="277"/>
      <c r="J85" s="112"/>
      <c r="K85" s="161"/>
      <c r="L85" s="112"/>
      <c r="M85" s="112"/>
      <c r="N85" s="112"/>
      <c r="O85" s="112"/>
      <c r="P85" s="190"/>
      <c r="Q85" s="112"/>
      <c r="R85" s="112"/>
      <c r="S85" s="112"/>
      <c r="T85" s="125"/>
      <c r="U85" s="112"/>
      <c r="V85" s="112"/>
      <c r="W85" s="112"/>
      <c r="Y85" s="180"/>
      <c r="Z85" s="112"/>
      <c r="AB85" s="112"/>
      <c r="AD85" s="112"/>
    </row>
    <row r="86" spans="1:1016" ht="12" customHeight="1">
      <c r="A86" s="123"/>
      <c r="B86" s="123"/>
      <c r="C86" s="123"/>
      <c r="D86" s="123"/>
      <c r="E86" s="123"/>
      <c r="F86" s="123"/>
      <c r="G86" s="112"/>
      <c r="H86" s="112"/>
      <c r="I86" s="277"/>
      <c r="J86" s="112"/>
      <c r="K86" s="161"/>
      <c r="L86" s="112"/>
      <c r="M86" s="112"/>
      <c r="N86" s="112"/>
      <c r="O86" s="112"/>
      <c r="P86" s="190"/>
      <c r="Q86" s="112"/>
      <c r="R86" s="112"/>
      <c r="S86" s="112"/>
      <c r="T86" s="125"/>
      <c r="U86" s="112"/>
      <c r="V86" s="112"/>
      <c r="W86" s="112"/>
      <c r="Y86" s="180"/>
      <c r="Z86" s="112"/>
      <c r="AB86" s="112"/>
      <c r="AD86" s="112"/>
    </row>
    <row r="87" spans="1:1016" ht="12" customHeight="1">
      <c r="A87" s="130"/>
      <c r="B87" s="130"/>
      <c r="C87" s="130"/>
      <c r="D87" s="130"/>
      <c r="E87" s="130"/>
      <c r="F87" s="130"/>
    </row>
    <row r="88" spans="1:1016" ht="12" customHeight="1">
      <c r="A88" s="130"/>
      <c r="B88" s="130"/>
      <c r="C88" s="130"/>
      <c r="D88" s="130"/>
      <c r="E88" s="130"/>
      <c r="F88" s="130"/>
    </row>
    <row r="89" spans="1:1016" ht="12" customHeight="1">
      <c r="A89" s="130"/>
      <c r="B89" s="130"/>
      <c r="C89" s="130"/>
      <c r="D89" s="130"/>
      <c r="E89" s="130"/>
      <c r="F89" s="130"/>
    </row>
    <row r="90" spans="1:1016" ht="12" customHeight="1">
      <c r="A90" s="136"/>
      <c r="B90" s="136"/>
      <c r="C90" s="136"/>
      <c r="D90" s="136"/>
      <c r="E90" s="136"/>
      <c r="F90" s="136"/>
    </row>
    <row r="91" spans="1:1016" ht="12" customHeight="1">
      <c r="A91" s="136"/>
      <c r="B91" s="136"/>
      <c r="C91" s="136"/>
      <c r="D91" s="136"/>
      <c r="E91" s="136"/>
      <c r="F91" s="136"/>
    </row>
  </sheetData>
  <mergeCells count="3">
    <mergeCell ref="L7:O7"/>
    <mergeCell ref="V7:W7"/>
    <mergeCell ref="AC7:AD7"/>
  </mergeCells>
  <conditionalFormatting sqref="A42:F43 A63:F903">
    <cfRule type="expression" dxfId="423" priority="191">
      <formula>OR($AD42="X",$AB42="X")</formula>
    </cfRule>
    <cfRule type="expression" dxfId="422" priority="192">
      <formula>AND($AD42=1,$AB42=1)</formula>
    </cfRule>
    <cfRule type="expression" dxfId="421" priority="193">
      <formula>$AD42=1</formula>
    </cfRule>
    <cfRule type="expression" dxfId="420" priority="194">
      <formula>$AB42=1</formula>
    </cfRule>
  </conditionalFormatting>
  <conditionalFormatting sqref="A9:G9 A10:A40">
    <cfRule type="expression" dxfId="419" priority="196">
      <formula>AND($AD9=1,$AC9=1)</formula>
    </cfRule>
    <cfRule type="expression" dxfId="418" priority="197">
      <formula>$AD9=1</formula>
    </cfRule>
    <cfRule type="expression" dxfId="417" priority="198">
      <formula>$AC9=1</formula>
    </cfRule>
  </conditionalFormatting>
  <conditionalFormatting sqref="A9:G9">
    <cfRule type="expression" dxfId="416" priority="195">
      <formula>OR($AD9="X",$AC9="X")</formula>
    </cfRule>
  </conditionalFormatting>
  <conditionalFormatting sqref="A9:G40">
    <cfRule type="expression" dxfId="415" priority="199">
      <formula>AND(NOT(ISBLANK($W9)),ISBLANK($AC9),ISBLANK($AD9))</formula>
    </cfRule>
  </conditionalFormatting>
  <conditionalFormatting sqref="B10:G39">
    <cfRule type="expression" dxfId="414" priority="171">
      <formula>OR($AD10="X",$AC10="X")</formula>
    </cfRule>
  </conditionalFormatting>
  <conditionalFormatting sqref="B10:G40">
    <cfRule type="expression" dxfId="413" priority="172">
      <formula>AND($AD10=1,$AC10=1)</formula>
    </cfRule>
    <cfRule type="expression" dxfId="412" priority="173">
      <formula>$AD10=1</formula>
    </cfRule>
    <cfRule type="expression" dxfId="411" priority="174">
      <formula>$AC10=1</formula>
    </cfRule>
  </conditionalFormatting>
  <conditionalFormatting sqref="B40:G40 A10:A40">
    <cfRule type="expression" dxfId="410" priority="108">
      <formula>OR($AD10="X",$AC10="X")</formula>
    </cfRule>
  </conditionalFormatting>
  <conditionalFormatting sqref="C9:C40">
    <cfRule type="expression" dxfId="409" priority="167">
      <formula>AND($R9="X",$B9&lt;&gt;"")</formula>
    </cfRule>
  </conditionalFormatting>
  <conditionalFormatting sqref="D9:D40">
    <cfRule type="expression" dxfId="408" priority="35">
      <formula>AND($R9="X",OR($B9&lt;&gt;"",$C9&lt;&gt;""))</formula>
    </cfRule>
  </conditionalFormatting>
  <conditionalFormatting sqref="D38:D39">
    <cfRule type="expression" dxfId="407" priority="115">
      <formula>AND($R38="X",$B38&lt;&gt;"")</formula>
    </cfRule>
  </conditionalFormatting>
  <conditionalFormatting sqref="E9:E40">
    <cfRule type="expression" dxfId="406" priority="88">
      <formula>AND($R9="X",OR($B9&lt;&gt;"",$C9&lt;&gt;"",$D9&lt;&gt;""))</formula>
    </cfRule>
  </conditionalFormatting>
  <conditionalFormatting sqref="F1:F2">
    <cfRule type="dataBar" priority="189">
      <dataBar>
        <cfvo type="num" val="0"/>
        <cfvo type="num" val="1"/>
        <color rgb="FF63C384"/>
      </dataBar>
      <extLst>
        <ext xmlns:x14="http://schemas.microsoft.com/office/spreadsheetml/2009/9/main" uri="{B025F937-C7B1-47D3-B67F-A62EFF666E3E}">
          <x14:id>{00137077-6CC2-4BCE-BAF2-82E50785EEA8}</x14:id>
        </ext>
      </extLst>
    </cfRule>
  </conditionalFormatting>
  <conditionalFormatting sqref="F9:F40">
    <cfRule type="expression" dxfId="405" priority="89">
      <formula>AND($R9="X",OR($B9&lt;&gt;"",$C9&lt;&gt;"",$D9&lt;&gt;"",$E9&lt;&gt;""))</formula>
    </cfRule>
  </conditionalFormatting>
  <conditionalFormatting sqref="G9:G40">
    <cfRule type="expression" dxfId="404" priority="1">
      <formula>AND($R9="X",OR($B9&lt;&gt;"",$C9&lt;&gt;"",$D9&lt;&gt;"",$E9&lt;&gt;"",$F9&lt;&gt;""))</formula>
    </cfRule>
  </conditionalFormatting>
  <conditionalFormatting sqref="H42:H43 H63:H903">
    <cfRule type="expression" dxfId="403" priority="190">
      <formula>$Q42="X"</formula>
    </cfRule>
  </conditionalFormatting>
  <conditionalFormatting sqref="I11:I40">
    <cfRule type="expression" dxfId="402" priority="166">
      <formula>$R11="X"</formula>
    </cfRule>
  </conditionalFormatting>
  <conditionalFormatting sqref="Q9:Q40">
    <cfRule type="cellIs" dxfId="401" priority="100" operator="equal">
      <formula>"1..1"</formula>
    </cfRule>
    <cfRule type="cellIs" dxfId="400" priority="101" operator="equal">
      <formula>"0..n"</formula>
    </cfRule>
    <cfRule type="cellIs" dxfId="399" priority="102" operator="equal">
      <formula>"0..1"</formula>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00137077-6CC2-4BCE-BAF2-82E50785EEA8}">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D9CE5-9996-43A9-95A0-55D34BFAC3F6}">
  <dimension ref="A1:AMC124"/>
  <sheetViews>
    <sheetView zoomScaleNormal="100" workbookViewId="0">
      <selection activeCell="D6" sqref="D6"/>
    </sheetView>
  </sheetViews>
  <sheetFormatPr defaultColWidth="9.5" defaultRowHeight="15"/>
  <cols>
    <col min="1" max="1" width="4.625" style="128" customWidth="1"/>
    <col min="2" max="2" width="19.375" style="128" customWidth="1"/>
    <col min="3" max="3" width="42.125" style="128" bestFit="1" customWidth="1"/>
    <col min="4" max="4" width="50.625" style="128" customWidth="1"/>
    <col min="5" max="5" width="11.625" style="128" customWidth="1"/>
    <col min="6" max="6" width="8.625" style="128" customWidth="1"/>
    <col min="7" max="7" width="10.125" style="96" customWidth="1"/>
    <col min="8" max="8" width="60" style="96" customWidth="1"/>
    <col min="9" max="9" width="33.5" style="225" customWidth="1"/>
    <col min="10" max="10" width="12" style="96" hidden="1" customWidth="1"/>
    <col min="11" max="11" width="17.875" style="159" customWidth="1"/>
    <col min="12" max="12" width="7.625" style="96" hidden="1" customWidth="1"/>
    <col min="13" max="13" width="9.625" style="96" hidden="1" customWidth="1"/>
    <col min="14" max="14" width="6.125" style="96" hidden="1" customWidth="1"/>
    <col min="15" max="15" width="10.625" style="96" hidden="1" customWidth="1"/>
    <col min="16" max="16" width="11.125" style="173" hidden="1" customWidth="1"/>
    <col min="17" max="17" width="10.5" style="96" customWidth="1"/>
    <col min="18" max="18" width="11" style="278" customWidth="1"/>
    <col min="19" max="19" width="18.5" style="96" customWidth="1"/>
    <col min="20" max="20" width="12.625" style="278" customWidth="1"/>
    <col min="21" max="21" width="28.125" style="96" customWidth="1"/>
    <col min="22" max="22" width="8.875" style="96" customWidth="1"/>
    <col min="23" max="23" width="8.125" style="96" customWidth="1"/>
    <col min="24" max="24" width="2.375" hidden="1" customWidth="1"/>
    <col min="25" max="25" width="22.625" style="179" hidden="1" customWidth="1"/>
    <col min="26" max="26" width="24.375" style="96" hidden="1" customWidth="1"/>
    <col min="27" max="27" width="24.5" style="159" hidden="1" customWidth="1"/>
    <col min="28" max="28" width="17.5" style="96" hidden="1" customWidth="1"/>
    <col min="29" max="29" width="9.5" hidden="1" customWidth="1"/>
    <col min="30" max="30" width="8" style="96" hidden="1" customWidth="1"/>
    <col min="31" max="31" width="8.875" style="128" customWidth="1"/>
    <col min="33" max="1013" width="9.5" style="128"/>
    <col min="1014" max="1014" width="9" style="128" customWidth="1"/>
    <col min="1015" max="1016" width="9" customWidth="1"/>
  </cols>
  <sheetData>
    <row r="1" spans="1:1014" ht="13.5" customHeight="1">
      <c r="A1" s="228" t="s">
        <v>2252</v>
      </c>
      <c r="C1" s="129" t="s">
        <v>813</v>
      </c>
      <c r="E1" s="150" t="s">
        <v>814</v>
      </c>
      <c r="F1" s="157">
        <f>createCase2912[[#Totals],[Métier]] / createCase2912[[#Totals],[ID]]</f>
        <v>0</v>
      </c>
      <c r="G1" s="128"/>
      <c r="AC1" s="96"/>
      <c r="AE1"/>
      <c r="AF1" s="128"/>
      <c r="ALZ1"/>
    </row>
    <row r="2" spans="1:1014" ht="13.5" customHeight="1">
      <c r="C2" s="141" t="s">
        <v>818</v>
      </c>
      <c r="D2" s="285"/>
      <c r="E2" s="152" t="s">
        <v>819</v>
      </c>
      <c r="F2" s="157">
        <f>createCase2912[[#Totals],[NexSIS]] / createCase2912[[#Totals],[ID]]</f>
        <v>0</v>
      </c>
      <c r="G2" s="128"/>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1" t="s">
        <v>912</v>
      </c>
      <c r="F5" s="146"/>
      <c r="G5" s="148"/>
      <c r="H5" s="148"/>
      <c r="I5" s="275"/>
      <c r="J5" s="148"/>
      <c r="K5" s="160"/>
      <c r="L5" s="148"/>
      <c r="M5" s="148"/>
      <c r="N5" s="148"/>
      <c r="O5" s="148"/>
      <c r="P5" s="186"/>
      <c r="Q5" s="148"/>
      <c r="R5" s="280"/>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78"/>
      <c r="E7" s="138"/>
      <c r="F7" s="138"/>
      <c r="L7" s="591" t="s">
        <v>828</v>
      </c>
      <c r="M7" s="591"/>
      <c r="N7" s="591"/>
      <c r="O7" s="591"/>
      <c r="V7" s="592" t="s">
        <v>829</v>
      </c>
      <c r="W7" s="592"/>
      <c r="AC7" s="591" t="s">
        <v>830</v>
      </c>
      <c r="AD7" s="591"/>
      <c r="AE7"/>
      <c r="AF7" s="128"/>
      <c r="ALZ7"/>
    </row>
    <row r="8" spans="1:1014"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536" t="s">
        <v>2253</v>
      </c>
      <c r="C9" s="531"/>
      <c r="D9" s="531"/>
      <c r="E9" s="531"/>
      <c r="F9" s="531"/>
      <c r="G9" s="531"/>
      <c r="H9" s="630"/>
      <c r="I9" s="532"/>
      <c r="J9" s="575"/>
      <c r="K9" s="611" t="s">
        <v>1721</v>
      </c>
      <c r="L9" s="575"/>
      <c r="M9" s="575"/>
      <c r="N9" s="575"/>
      <c r="O9" s="575"/>
      <c r="P9" s="612"/>
      <c r="Q9" s="575" t="s">
        <v>820</v>
      </c>
      <c r="R9" s="613" t="s">
        <v>864</v>
      </c>
      <c r="S9" s="243" t="s">
        <v>1721</v>
      </c>
      <c r="T9" s="575"/>
      <c r="U9" s="575"/>
      <c r="V9" s="614"/>
      <c r="W9" s="614"/>
      <c r="X9" s="232"/>
      <c r="Y9" s="615"/>
      <c r="Z9" s="575"/>
      <c r="AA9" s="616"/>
      <c r="AB9" s="575"/>
      <c r="AC9" s="613"/>
      <c r="AD9" s="613"/>
    </row>
    <row r="10" spans="1:1014" s="224" customFormat="1" ht="13.5" customHeight="1">
      <c r="A10" s="225">
        <v>2</v>
      </c>
      <c r="B10" s="240"/>
      <c r="C10" s="241" t="s">
        <v>2254</v>
      </c>
      <c r="D10" s="241"/>
      <c r="E10" s="241"/>
      <c r="F10" s="241"/>
      <c r="G10" s="241"/>
      <c r="H10" s="575" t="s">
        <v>2255</v>
      </c>
      <c r="I10" s="611" t="s">
        <v>1329</v>
      </c>
      <c r="J10" s="575"/>
      <c r="K10" s="611" t="s">
        <v>2256</v>
      </c>
      <c r="L10" s="575"/>
      <c r="M10" s="575"/>
      <c r="N10" s="575"/>
      <c r="O10" s="575"/>
      <c r="P10" s="612"/>
      <c r="Q10" s="575" t="s">
        <v>820</v>
      </c>
      <c r="R10" s="613"/>
      <c r="S10" s="575" t="s">
        <v>863</v>
      </c>
      <c r="T10" s="575"/>
      <c r="U10" s="575"/>
      <c r="V10" s="614"/>
      <c r="W10" s="614"/>
      <c r="X10" s="232"/>
      <c r="Y10" s="615"/>
      <c r="Z10" s="575"/>
      <c r="AA10" s="616"/>
      <c r="AB10" s="575"/>
      <c r="AC10" s="613"/>
      <c r="AD10" s="613"/>
    </row>
    <row r="11" spans="1:1014" s="224" customFormat="1" ht="13.5" customHeight="1">
      <c r="A11" s="225">
        <v>3</v>
      </c>
      <c r="B11" s="240"/>
      <c r="C11" s="241" t="s">
        <v>2257</v>
      </c>
      <c r="D11" s="241"/>
      <c r="E11" s="241"/>
      <c r="F11" s="241"/>
      <c r="G11" s="241"/>
      <c r="H11" s="575" t="s">
        <v>2258</v>
      </c>
      <c r="I11" s="611" t="s">
        <v>2259</v>
      </c>
      <c r="J11" s="575"/>
      <c r="K11" s="611" t="s">
        <v>2260</v>
      </c>
      <c r="L11" s="575"/>
      <c r="M11" s="575"/>
      <c r="N11" s="575"/>
      <c r="O11" s="575"/>
      <c r="P11" s="612"/>
      <c r="Q11" s="575" t="s">
        <v>820</v>
      </c>
      <c r="R11" s="613"/>
      <c r="S11" s="575" t="s">
        <v>863</v>
      </c>
      <c r="T11" s="575"/>
      <c r="U11" s="575"/>
      <c r="V11" s="614"/>
      <c r="W11" s="614"/>
      <c r="X11" s="232"/>
      <c r="Y11" s="615"/>
      <c r="Z11" s="575"/>
      <c r="AA11" s="616"/>
      <c r="AB11" s="575"/>
      <c r="AC11" s="613"/>
      <c r="AD11" s="613"/>
    </row>
    <row r="12" spans="1:1014" s="224" customFormat="1" ht="13.5" customHeight="1">
      <c r="A12" s="225">
        <v>4</v>
      </c>
      <c r="B12" s="240"/>
      <c r="C12" s="241" t="s">
        <v>2261</v>
      </c>
      <c r="D12" s="241"/>
      <c r="E12" s="241"/>
      <c r="F12" s="241"/>
      <c r="G12" s="241"/>
      <c r="H12" s="575" t="s">
        <v>2262</v>
      </c>
      <c r="I12" s="611" t="s">
        <v>930</v>
      </c>
      <c r="J12" s="575"/>
      <c r="K12" s="611" t="s">
        <v>2263</v>
      </c>
      <c r="L12" s="575"/>
      <c r="M12" s="575"/>
      <c r="N12" s="575"/>
      <c r="O12" s="575"/>
      <c r="P12" s="612"/>
      <c r="Q12" s="575" t="s">
        <v>820</v>
      </c>
      <c r="R12" s="613"/>
      <c r="S12" s="575" t="s">
        <v>879</v>
      </c>
      <c r="T12" s="613"/>
      <c r="U12" s="575"/>
      <c r="V12" s="614"/>
      <c r="W12" s="614"/>
      <c r="X12" s="232"/>
      <c r="Y12" s="615"/>
      <c r="Z12" s="575"/>
      <c r="AA12" s="616"/>
      <c r="AB12" s="575"/>
      <c r="AC12" s="613"/>
      <c r="AD12" s="613"/>
    </row>
    <row r="13" spans="1:1014" s="224" customFormat="1" ht="13.5" customHeight="1">
      <c r="A13" s="225">
        <v>5</v>
      </c>
      <c r="B13" s="240"/>
      <c r="C13" s="241" t="s">
        <v>2264</v>
      </c>
      <c r="D13" s="241"/>
      <c r="E13" s="241"/>
      <c r="F13" s="241"/>
      <c r="G13" s="241"/>
      <c r="H13" s="575" t="s">
        <v>2262</v>
      </c>
      <c r="I13" s="611" t="s">
        <v>930</v>
      </c>
      <c r="J13" s="575"/>
      <c r="K13" s="611" t="s">
        <v>2265</v>
      </c>
      <c r="L13" s="575"/>
      <c r="M13" s="575"/>
      <c r="N13" s="575"/>
      <c r="O13" s="575"/>
      <c r="P13" s="612"/>
      <c r="Q13" s="575" t="s">
        <v>820</v>
      </c>
      <c r="R13" s="613"/>
      <c r="S13" s="575" t="s">
        <v>879</v>
      </c>
      <c r="T13" s="613"/>
      <c r="U13" s="575"/>
      <c r="V13" s="614"/>
      <c r="W13" s="614"/>
      <c r="X13" s="232"/>
      <c r="Y13" s="615"/>
      <c r="Z13" s="575"/>
      <c r="AA13" s="616"/>
      <c r="AB13" s="575"/>
      <c r="AC13" s="613"/>
      <c r="AD13" s="613"/>
    </row>
    <row r="14" spans="1:1014" s="224" customFormat="1" ht="13.5" customHeight="1">
      <c r="A14" s="225">
        <v>6</v>
      </c>
      <c r="B14" s="240"/>
      <c r="C14" s="515" t="s">
        <v>2266</v>
      </c>
      <c r="D14" s="515"/>
      <c r="E14" s="515"/>
      <c r="F14" s="515"/>
      <c r="G14" s="515"/>
      <c r="H14" s="386" t="s">
        <v>2267</v>
      </c>
      <c r="I14" s="519" t="s">
        <v>2268</v>
      </c>
      <c r="J14" s="386"/>
      <c r="K14" s="519" t="s">
        <v>958</v>
      </c>
      <c r="L14" s="386"/>
      <c r="M14" s="386"/>
      <c r="N14" s="386"/>
      <c r="O14" s="386"/>
      <c r="P14" s="520"/>
      <c r="Q14" s="386"/>
      <c r="R14" s="529"/>
      <c r="S14" s="386" t="s">
        <v>863</v>
      </c>
      <c r="T14" s="613"/>
      <c r="U14" s="575"/>
      <c r="V14" s="614"/>
      <c r="W14" s="614"/>
      <c r="X14" s="232"/>
      <c r="Y14" s="615"/>
      <c r="Z14" s="575"/>
      <c r="AA14" s="616"/>
      <c r="AB14" s="575"/>
      <c r="AC14" s="613"/>
      <c r="AD14" s="613"/>
    </row>
    <row r="15" spans="1:1014" s="224" customFormat="1" ht="13.5" customHeight="1">
      <c r="A15" s="225">
        <v>7</v>
      </c>
      <c r="B15" s="240"/>
      <c r="C15" s="537" t="s">
        <v>2269</v>
      </c>
      <c r="D15" s="533"/>
      <c r="E15" s="533"/>
      <c r="F15" s="533"/>
      <c r="G15" s="533"/>
      <c r="H15" s="630"/>
      <c r="I15" s="631"/>
      <c r="J15" s="575"/>
      <c r="K15" s="611"/>
      <c r="L15" s="575"/>
      <c r="M15" s="575"/>
      <c r="N15" s="575"/>
      <c r="O15" s="575"/>
      <c r="P15" s="612"/>
      <c r="Q15" s="575" t="s">
        <v>820</v>
      </c>
      <c r="R15" s="529" t="s">
        <v>864</v>
      </c>
      <c r="S15" s="535" t="s">
        <v>2270</v>
      </c>
      <c r="T15" s="613"/>
      <c r="U15" s="575"/>
      <c r="V15" s="614"/>
      <c r="W15" s="614"/>
      <c r="X15" s="232"/>
      <c r="Y15" s="615"/>
      <c r="Z15" s="575"/>
      <c r="AA15" s="616"/>
      <c r="AB15" s="575"/>
      <c r="AC15" s="613"/>
      <c r="AD15" s="613"/>
    </row>
    <row r="16" spans="1:1014" s="224" customFormat="1" ht="13.5" customHeight="1">
      <c r="A16" s="225">
        <v>8</v>
      </c>
      <c r="B16" s="240"/>
      <c r="C16" s="515"/>
      <c r="D16" s="515" t="s">
        <v>2271</v>
      </c>
      <c r="E16" s="515"/>
      <c r="F16" s="515"/>
      <c r="G16" s="515"/>
      <c r="H16" s="386" t="s">
        <v>2272</v>
      </c>
      <c r="I16" s="519" t="s">
        <v>2273</v>
      </c>
      <c r="J16" s="386"/>
      <c r="K16" s="519" t="s">
        <v>2274</v>
      </c>
      <c r="L16" s="386"/>
      <c r="M16" s="386"/>
      <c r="N16" s="386"/>
      <c r="O16" s="386"/>
      <c r="P16" s="520"/>
      <c r="Q16" s="386" t="s">
        <v>820</v>
      </c>
      <c r="R16" s="529"/>
      <c r="S16" s="386" t="s">
        <v>2124</v>
      </c>
      <c r="T16" s="575"/>
      <c r="U16" s="575"/>
      <c r="V16" s="614"/>
      <c r="W16" s="614"/>
      <c r="X16" s="232"/>
      <c r="Y16" s="615"/>
      <c r="Z16" s="575"/>
      <c r="AA16" s="616"/>
      <c r="AB16" s="575"/>
      <c r="AC16" s="613"/>
      <c r="AD16" s="613"/>
    </row>
    <row r="17" spans="1:30" s="224" customFormat="1" ht="13.5" customHeight="1">
      <c r="A17" s="225">
        <v>9</v>
      </c>
      <c r="B17" s="240"/>
      <c r="C17" s="515"/>
      <c r="D17" s="515" t="s">
        <v>2275</v>
      </c>
      <c r="E17" s="515"/>
      <c r="F17" s="515"/>
      <c r="G17" s="515"/>
      <c r="H17" s="386"/>
      <c r="I17" s="519"/>
      <c r="J17" s="386"/>
      <c r="K17" s="519"/>
      <c r="L17" s="386"/>
      <c r="M17" s="386"/>
      <c r="N17" s="386"/>
      <c r="O17" s="386"/>
      <c r="P17" s="520"/>
      <c r="Q17" s="386" t="s">
        <v>820</v>
      </c>
      <c r="R17" s="529"/>
      <c r="S17" s="386" t="s">
        <v>879</v>
      </c>
      <c r="T17" s="575"/>
      <c r="U17" s="575"/>
      <c r="V17" s="614"/>
      <c r="W17" s="614"/>
      <c r="X17" s="232"/>
      <c r="Y17" s="615"/>
      <c r="Z17" s="575"/>
      <c r="AA17" s="616"/>
      <c r="AB17" s="575"/>
      <c r="AC17" s="613"/>
      <c r="AD17" s="613"/>
    </row>
    <row r="18" spans="1:30" s="224" customFormat="1" ht="13.5" customHeight="1">
      <c r="A18" s="225">
        <v>10</v>
      </c>
      <c r="B18" s="240" t="s">
        <v>2276</v>
      </c>
      <c r="C18" s="533"/>
      <c r="D18" s="533"/>
      <c r="E18" s="533"/>
      <c r="F18" s="533"/>
      <c r="G18" s="533"/>
      <c r="H18" s="630"/>
      <c r="I18" s="631"/>
      <c r="J18" s="575"/>
      <c r="K18" s="611" t="s">
        <v>2277</v>
      </c>
      <c r="L18" s="575"/>
      <c r="M18" s="575"/>
      <c r="N18" s="575"/>
      <c r="O18" s="575"/>
      <c r="P18" s="612"/>
      <c r="Q18" s="575" t="s">
        <v>820</v>
      </c>
      <c r="R18" s="613" t="s">
        <v>864</v>
      </c>
      <c r="S18" s="243" t="s">
        <v>2277</v>
      </c>
      <c r="T18" s="613"/>
      <c r="U18" s="575"/>
      <c r="V18" s="614"/>
      <c r="W18" s="614"/>
      <c r="X18" s="232"/>
      <c r="Y18" s="615"/>
      <c r="Z18" s="575"/>
      <c r="AA18" s="616"/>
      <c r="AB18" s="575"/>
      <c r="AC18" s="613"/>
      <c r="AD18" s="613"/>
    </row>
    <row r="19" spans="1:30" s="224" customFormat="1" ht="13.5" customHeight="1">
      <c r="A19" s="225">
        <v>11</v>
      </c>
      <c r="B19" s="240"/>
      <c r="C19" s="241" t="s">
        <v>2278</v>
      </c>
      <c r="D19" s="533"/>
      <c r="E19" s="533"/>
      <c r="F19" s="533"/>
      <c r="G19" s="533"/>
      <c r="H19" s="630"/>
      <c r="I19" s="631"/>
      <c r="J19" s="575"/>
      <c r="K19" s="575" t="s">
        <v>987</v>
      </c>
      <c r="L19" s="575"/>
      <c r="M19" s="575"/>
      <c r="N19" s="575"/>
      <c r="O19" s="575"/>
      <c r="P19" s="612"/>
      <c r="Q19" s="575" t="s">
        <v>820</v>
      </c>
      <c r="R19" s="613" t="s">
        <v>864</v>
      </c>
      <c r="S19" s="575" t="s">
        <v>974</v>
      </c>
      <c r="T19" s="613" t="s">
        <v>864</v>
      </c>
      <c r="U19" s="575"/>
      <c r="V19" s="614"/>
      <c r="W19" s="614"/>
      <c r="X19" s="232"/>
      <c r="Y19" s="615"/>
      <c r="Z19" s="575"/>
      <c r="AA19" s="616"/>
      <c r="AB19" s="575"/>
      <c r="AC19" s="613"/>
      <c r="AD19" s="613"/>
    </row>
    <row r="20" spans="1:30" s="224" customFormat="1" ht="13.5" customHeight="1">
      <c r="A20" s="225">
        <v>12</v>
      </c>
      <c r="B20" s="216"/>
      <c r="C20" s="241"/>
      <c r="D20" s="241" t="s">
        <v>667</v>
      </c>
      <c r="E20" s="241"/>
      <c r="F20" s="241"/>
      <c r="G20" s="241"/>
      <c r="H20" s="575" t="s">
        <v>2279</v>
      </c>
      <c r="I20" s="611" t="s">
        <v>2280</v>
      </c>
      <c r="J20" s="575"/>
      <c r="K20" s="575" t="s">
        <v>978</v>
      </c>
      <c r="L20" s="575"/>
      <c r="M20" s="575"/>
      <c r="N20" s="575"/>
      <c r="O20" s="575"/>
      <c r="P20" s="612"/>
      <c r="Q20" s="575" t="s">
        <v>820</v>
      </c>
      <c r="R20" s="613"/>
      <c r="S20" s="575" t="s">
        <v>863</v>
      </c>
      <c r="T20" s="613"/>
      <c r="U20" s="575"/>
      <c r="V20" s="614"/>
      <c r="W20" s="614"/>
      <c r="X20" s="232"/>
      <c r="Y20" s="615"/>
      <c r="Z20" s="575"/>
      <c r="AA20" s="616"/>
      <c r="AB20" s="575"/>
      <c r="AC20" s="613"/>
      <c r="AD20" s="613"/>
    </row>
    <row r="21" spans="1:30" s="224" customFormat="1" ht="13.5" customHeight="1">
      <c r="A21" s="225">
        <v>13</v>
      </c>
      <c r="B21" s="216"/>
      <c r="C21" s="241"/>
      <c r="D21" s="241" t="s">
        <v>2281</v>
      </c>
      <c r="E21" s="241"/>
      <c r="F21" s="241"/>
      <c r="G21" s="241"/>
      <c r="H21" s="575" t="s">
        <v>2282</v>
      </c>
      <c r="I21" s="611" t="s">
        <v>2283</v>
      </c>
      <c r="J21" s="575"/>
      <c r="K21" s="575" t="s">
        <v>982</v>
      </c>
      <c r="L21" s="575"/>
      <c r="M21" s="575"/>
      <c r="N21" s="575"/>
      <c r="O21" s="575"/>
      <c r="P21" s="612"/>
      <c r="Q21" s="575" t="s">
        <v>820</v>
      </c>
      <c r="R21" s="613"/>
      <c r="S21" s="575" t="s">
        <v>863</v>
      </c>
      <c r="T21" s="613"/>
      <c r="U21" s="575"/>
      <c r="V21" s="614"/>
      <c r="W21" s="614"/>
      <c r="X21" s="232"/>
      <c r="Y21" s="615"/>
      <c r="Z21" s="575"/>
      <c r="AA21" s="616"/>
      <c r="AB21" s="575"/>
      <c r="AC21" s="613"/>
      <c r="AD21" s="613"/>
    </row>
    <row r="22" spans="1:30" s="224" customFormat="1" ht="13.5" customHeight="1">
      <c r="A22" s="225">
        <v>14</v>
      </c>
      <c r="B22" s="216"/>
      <c r="C22" s="241"/>
      <c r="D22" s="241" t="s">
        <v>767</v>
      </c>
      <c r="E22" s="241"/>
      <c r="F22" s="241"/>
      <c r="G22" s="241"/>
      <c r="H22" s="575" t="s">
        <v>983</v>
      </c>
      <c r="I22" s="611"/>
      <c r="J22" s="575"/>
      <c r="K22" s="575" t="s">
        <v>939</v>
      </c>
      <c r="L22" s="575"/>
      <c r="M22" s="575"/>
      <c r="N22" s="575"/>
      <c r="O22" s="575"/>
      <c r="P22" s="612"/>
      <c r="Q22" s="575" t="s">
        <v>817</v>
      </c>
      <c r="R22" s="613"/>
      <c r="S22" s="575" t="s">
        <v>863</v>
      </c>
      <c r="T22" s="613"/>
      <c r="U22" s="575"/>
      <c r="V22" s="614"/>
      <c r="W22" s="614"/>
      <c r="X22" s="232"/>
      <c r="Y22" s="615"/>
      <c r="Z22" s="575"/>
      <c r="AA22" s="616"/>
      <c r="AB22" s="575"/>
      <c r="AC22" s="613"/>
      <c r="AD22" s="613"/>
    </row>
    <row r="23" spans="1:30" s="224" customFormat="1" ht="13.5" customHeight="1">
      <c r="A23" s="225">
        <v>15</v>
      </c>
      <c r="B23" s="240"/>
      <c r="C23" s="241" t="s">
        <v>2284</v>
      </c>
      <c r="D23" s="533"/>
      <c r="E23" s="533"/>
      <c r="F23" s="533"/>
      <c r="G23" s="533"/>
      <c r="H23" s="630"/>
      <c r="I23" s="631"/>
      <c r="J23" s="575"/>
      <c r="K23" s="575" t="s">
        <v>995</v>
      </c>
      <c r="L23" s="575"/>
      <c r="M23" s="575"/>
      <c r="N23" s="575"/>
      <c r="O23" s="575"/>
      <c r="P23" s="612"/>
      <c r="Q23" s="575" t="s">
        <v>820</v>
      </c>
      <c r="R23" s="613" t="s">
        <v>864</v>
      </c>
      <c r="S23" s="575" t="s">
        <v>974</v>
      </c>
      <c r="T23" s="613" t="s">
        <v>864</v>
      </c>
      <c r="U23" s="575"/>
      <c r="V23" s="614"/>
      <c r="W23" s="614"/>
      <c r="X23" s="232"/>
      <c r="Y23" s="615"/>
      <c r="Z23" s="575"/>
      <c r="AA23" s="616"/>
      <c r="AB23" s="575"/>
      <c r="AC23" s="613"/>
      <c r="AD23" s="613"/>
    </row>
    <row r="24" spans="1:30" s="224" customFormat="1" ht="13.5" customHeight="1">
      <c r="A24" s="225">
        <v>16</v>
      </c>
      <c r="B24" s="216"/>
      <c r="C24" s="241"/>
      <c r="D24" s="241" t="s">
        <v>667</v>
      </c>
      <c r="E24" s="241"/>
      <c r="F24" s="241"/>
      <c r="G24" s="241"/>
      <c r="H24" s="575" t="s">
        <v>2285</v>
      </c>
      <c r="I24" s="611" t="s">
        <v>2286</v>
      </c>
      <c r="J24" s="575"/>
      <c r="K24" s="575" t="s">
        <v>978</v>
      </c>
      <c r="L24" s="575"/>
      <c r="M24" s="575"/>
      <c r="N24" s="575"/>
      <c r="O24" s="575"/>
      <c r="P24" s="612"/>
      <c r="Q24" s="575" t="s">
        <v>820</v>
      </c>
      <c r="R24" s="613"/>
      <c r="S24" s="575" t="s">
        <v>863</v>
      </c>
      <c r="T24" s="613"/>
      <c r="U24" s="575"/>
      <c r="V24" s="614"/>
      <c r="W24" s="614"/>
      <c r="X24" s="232"/>
      <c r="Y24" s="615"/>
      <c r="Z24" s="575"/>
      <c r="AA24" s="616"/>
      <c r="AB24" s="575"/>
      <c r="AC24" s="613"/>
      <c r="AD24" s="613"/>
    </row>
    <row r="25" spans="1:30" s="224" customFormat="1" ht="13.5" customHeight="1">
      <c r="A25" s="225">
        <v>17</v>
      </c>
      <c r="B25" s="216"/>
      <c r="C25" s="241"/>
      <c r="D25" s="241" t="s">
        <v>2281</v>
      </c>
      <c r="E25" s="241"/>
      <c r="F25" s="241"/>
      <c r="G25" s="241"/>
      <c r="H25" s="575" t="s">
        <v>2287</v>
      </c>
      <c r="I25" s="611" t="s">
        <v>2288</v>
      </c>
      <c r="J25" s="575"/>
      <c r="K25" s="575" t="s">
        <v>982</v>
      </c>
      <c r="L25" s="575"/>
      <c r="M25" s="575"/>
      <c r="N25" s="575"/>
      <c r="O25" s="575"/>
      <c r="P25" s="612"/>
      <c r="Q25" s="575" t="s">
        <v>820</v>
      </c>
      <c r="R25" s="613"/>
      <c r="S25" s="575" t="s">
        <v>863</v>
      </c>
      <c r="T25" s="613"/>
      <c r="U25" s="575"/>
      <c r="V25" s="614"/>
      <c r="W25" s="614"/>
      <c r="X25" s="232"/>
      <c r="Y25" s="615"/>
      <c r="Z25" s="575"/>
      <c r="AA25" s="616"/>
      <c r="AB25" s="575"/>
      <c r="AC25" s="613"/>
      <c r="AD25" s="613"/>
    </row>
    <row r="26" spans="1:30" s="224" customFormat="1" ht="13.5" customHeight="1">
      <c r="A26" s="225">
        <v>18</v>
      </c>
      <c r="B26" s="216"/>
      <c r="C26" s="241"/>
      <c r="D26" s="241" t="s">
        <v>767</v>
      </c>
      <c r="E26" s="241"/>
      <c r="F26" s="241"/>
      <c r="G26" s="241"/>
      <c r="H26" s="575" t="s">
        <v>983</v>
      </c>
      <c r="I26" s="611"/>
      <c r="J26" s="575"/>
      <c r="K26" s="575" t="s">
        <v>939</v>
      </c>
      <c r="L26" s="575"/>
      <c r="M26" s="575"/>
      <c r="N26" s="575"/>
      <c r="O26" s="575"/>
      <c r="P26" s="612"/>
      <c r="Q26" s="575" t="s">
        <v>817</v>
      </c>
      <c r="R26" s="613"/>
      <c r="S26" s="575" t="s">
        <v>863</v>
      </c>
      <c r="T26" s="613"/>
      <c r="U26" s="575"/>
      <c r="V26" s="614"/>
      <c r="W26" s="614"/>
      <c r="X26" s="232"/>
      <c r="Y26" s="615"/>
      <c r="Z26" s="575"/>
      <c r="AA26" s="616"/>
      <c r="AB26" s="575"/>
      <c r="AC26" s="613"/>
      <c r="AD26" s="613"/>
    </row>
    <row r="27" spans="1:30" s="224" customFormat="1" ht="13.5" customHeight="1">
      <c r="A27" s="225">
        <v>19</v>
      </c>
      <c r="B27" s="217"/>
      <c r="C27" s="241" t="s">
        <v>2289</v>
      </c>
      <c r="D27" s="241"/>
      <c r="E27" s="241"/>
      <c r="F27" s="241"/>
      <c r="G27" s="241"/>
      <c r="H27" s="269" t="s">
        <v>2290</v>
      </c>
      <c r="I27" s="611" t="s">
        <v>2291</v>
      </c>
      <c r="J27" s="575"/>
      <c r="K27" s="611" t="s">
        <v>2292</v>
      </c>
      <c r="L27" s="575"/>
      <c r="M27" s="575"/>
      <c r="N27" s="575"/>
      <c r="O27" s="575"/>
      <c r="P27" s="612"/>
      <c r="Q27" s="575" t="s">
        <v>820</v>
      </c>
      <c r="R27" s="613"/>
      <c r="S27" s="575" t="s">
        <v>863</v>
      </c>
      <c r="T27" s="613"/>
      <c r="U27" s="575"/>
      <c r="V27" s="614"/>
      <c r="W27" s="614"/>
      <c r="X27" s="232"/>
      <c r="Y27" s="615"/>
      <c r="Z27" s="575"/>
      <c r="AA27" s="616"/>
      <c r="AB27" s="575"/>
      <c r="AC27" s="613"/>
      <c r="AD27" s="613"/>
    </row>
    <row r="28" spans="1:30" s="224" customFormat="1" ht="13.5" customHeight="1">
      <c r="A28" s="225">
        <v>20</v>
      </c>
      <c r="B28" s="216" t="s">
        <v>561</v>
      </c>
      <c r="C28" s="632"/>
      <c r="D28" s="533"/>
      <c r="E28" s="533"/>
      <c r="F28" s="533"/>
      <c r="G28" s="533"/>
      <c r="H28" s="630"/>
      <c r="I28" s="631"/>
      <c r="J28" s="575"/>
      <c r="K28" s="611" t="s">
        <v>1392</v>
      </c>
      <c r="L28" s="575"/>
      <c r="M28" s="575"/>
      <c r="N28" s="575"/>
      <c r="O28" s="575"/>
      <c r="P28" s="612"/>
      <c r="Q28" s="575" t="s">
        <v>820</v>
      </c>
      <c r="R28" s="613" t="s">
        <v>864</v>
      </c>
      <c r="S28" s="243" t="s">
        <v>1392</v>
      </c>
      <c r="T28" s="613"/>
      <c r="U28" s="575"/>
      <c r="V28" s="614"/>
      <c r="W28" s="614"/>
      <c r="X28" s="232"/>
      <c r="Y28" s="615"/>
      <c r="Z28" s="575"/>
      <c r="AA28" s="616"/>
      <c r="AB28" s="575"/>
      <c r="AC28" s="613"/>
      <c r="AD28" s="613"/>
    </row>
    <row r="29" spans="1:30" s="224" customFormat="1" ht="13.5" customHeight="1">
      <c r="A29" s="225">
        <v>21</v>
      </c>
      <c r="B29" s="216"/>
      <c r="C29" s="610" t="s">
        <v>2293</v>
      </c>
      <c r="D29" s="241"/>
      <c r="E29" s="241"/>
      <c r="F29" s="241"/>
      <c r="G29" s="241"/>
      <c r="H29" s="575" t="s">
        <v>2294</v>
      </c>
      <c r="I29" s="611" t="s">
        <v>2295</v>
      </c>
      <c r="J29" s="575"/>
      <c r="K29" s="611" t="s">
        <v>1205</v>
      </c>
      <c r="L29" s="575"/>
      <c r="M29" s="575"/>
      <c r="N29" s="575"/>
      <c r="O29" s="575"/>
      <c r="P29" s="612"/>
      <c r="Q29" s="575" t="s">
        <v>820</v>
      </c>
      <c r="R29" s="613"/>
      <c r="S29" s="575" t="s">
        <v>863</v>
      </c>
      <c r="T29" s="613"/>
      <c r="U29" s="575"/>
      <c r="V29" s="614"/>
      <c r="W29" s="614"/>
      <c r="X29" s="232"/>
      <c r="Y29" s="615"/>
      <c r="Z29" s="575"/>
      <c r="AA29" s="616"/>
      <c r="AB29" s="575"/>
      <c r="AC29" s="613"/>
      <c r="AD29" s="613"/>
    </row>
    <row r="30" spans="1:30" s="224" customFormat="1" ht="13.5" customHeight="1">
      <c r="A30" s="225">
        <v>22</v>
      </c>
      <c r="B30" s="216"/>
      <c r="C30" s="610" t="s">
        <v>1464</v>
      </c>
      <c r="D30" s="241"/>
      <c r="E30" s="241"/>
      <c r="F30" s="241"/>
      <c r="G30" s="241"/>
      <c r="H30" s="575" t="s">
        <v>1465</v>
      </c>
      <c r="I30" s="633">
        <v>13197</v>
      </c>
      <c r="J30" s="575"/>
      <c r="K30" s="611" t="s">
        <v>1466</v>
      </c>
      <c r="L30" s="575"/>
      <c r="M30" s="575"/>
      <c r="N30" s="575"/>
      <c r="O30" s="575"/>
      <c r="P30" s="612"/>
      <c r="Q30" s="575" t="s">
        <v>820</v>
      </c>
      <c r="R30" s="613"/>
      <c r="S30" s="575" t="s">
        <v>863</v>
      </c>
      <c r="T30" s="613"/>
      <c r="U30" s="575"/>
      <c r="V30" s="614"/>
      <c r="W30" s="614"/>
      <c r="X30" s="232"/>
      <c r="Y30" s="615"/>
      <c r="Z30" s="575"/>
      <c r="AA30" s="616"/>
      <c r="AB30" s="575"/>
      <c r="AC30" s="613"/>
      <c r="AD30" s="613"/>
    </row>
    <row r="31" spans="1:30" s="224" customFormat="1" ht="13.5" customHeight="1">
      <c r="A31" s="225">
        <v>23</v>
      </c>
      <c r="B31" s="216"/>
      <c r="C31" s="610" t="s">
        <v>2095</v>
      </c>
      <c r="D31" s="241"/>
      <c r="E31" s="241"/>
      <c r="F31" s="241"/>
      <c r="G31" s="241"/>
      <c r="H31" s="575" t="s">
        <v>2296</v>
      </c>
      <c r="I31" s="611" t="s">
        <v>698</v>
      </c>
      <c r="J31" s="575"/>
      <c r="K31" s="611" t="s">
        <v>1470</v>
      </c>
      <c r="L31" s="575"/>
      <c r="M31" s="575"/>
      <c r="N31" s="575"/>
      <c r="O31" s="575"/>
      <c r="P31" s="612"/>
      <c r="Q31" s="575" t="s">
        <v>820</v>
      </c>
      <c r="R31" s="613"/>
      <c r="S31" s="575" t="s">
        <v>863</v>
      </c>
      <c r="T31" s="613" t="s">
        <v>864</v>
      </c>
      <c r="U31" s="575"/>
      <c r="V31" s="614"/>
      <c r="W31" s="614"/>
      <c r="X31" s="232"/>
      <c r="Y31" s="615"/>
      <c r="Z31" s="575"/>
      <c r="AA31" s="616"/>
      <c r="AB31" s="575"/>
      <c r="AC31" s="613"/>
      <c r="AD31" s="613"/>
    </row>
    <row r="32" spans="1:30" s="224" customFormat="1" ht="13.5" customHeight="1">
      <c r="A32" s="225">
        <v>24</v>
      </c>
      <c r="B32" s="216"/>
      <c r="C32" s="610" t="s">
        <v>2297</v>
      </c>
      <c r="D32" s="241"/>
      <c r="E32" s="241"/>
      <c r="F32" s="241"/>
      <c r="G32" s="241"/>
      <c r="H32" s="575" t="s">
        <v>2298</v>
      </c>
      <c r="I32" s="611" t="s">
        <v>2299</v>
      </c>
      <c r="J32" s="575"/>
      <c r="K32" s="611" t="s">
        <v>2300</v>
      </c>
      <c r="L32" s="575"/>
      <c r="M32" s="575"/>
      <c r="N32" s="575"/>
      <c r="O32" s="575"/>
      <c r="P32" s="612"/>
      <c r="Q32" s="575" t="s">
        <v>817</v>
      </c>
      <c r="R32" s="613"/>
      <c r="S32" s="575" t="s">
        <v>1079</v>
      </c>
      <c r="T32" s="613"/>
      <c r="U32" s="575"/>
      <c r="V32" s="614"/>
      <c r="W32" s="614"/>
      <c r="X32" s="232"/>
      <c r="Y32" s="615"/>
      <c r="Z32" s="575"/>
      <c r="AA32" s="616"/>
      <c r="AB32" s="575"/>
      <c r="AC32" s="613"/>
      <c r="AD32" s="613"/>
    </row>
    <row r="33" spans="1:30" s="224" customFormat="1" ht="13.5" customHeight="1">
      <c r="A33" s="225">
        <v>25</v>
      </c>
      <c r="B33" s="216"/>
      <c r="C33" s="610" t="s">
        <v>2099</v>
      </c>
      <c r="D33" s="533"/>
      <c r="E33" s="533"/>
      <c r="F33" s="533"/>
      <c r="G33" s="533"/>
      <c r="H33" s="630"/>
      <c r="I33" s="631"/>
      <c r="J33" s="575"/>
      <c r="K33" s="611" t="s">
        <v>2100</v>
      </c>
      <c r="L33" s="575"/>
      <c r="M33" s="575"/>
      <c r="N33" s="575"/>
      <c r="O33" s="575"/>
      <c r="P33" s="612"/>
      <c r="Q33" s="575" t="s">
        <v>817</v>
      </c>
      <c r="R33" s="613" t="s">
        <v>864</v>
      </c>
      <c r="S33" s="379" t="s">
        <v>2100</v>
      </c>
      <c r="T33" s="613"/>
      <c r="U33" s="575"/>
      <c r="V33" s="614"/>
      <c r="W33" s="614"/>
      <c r="X33" s="232"/>
      <c r="Y33" s="615"/>
      <c r="Z33" s="575"/>
      <c r="AA33" s="616"/>
      <c r="AB33" s="575"/>
      <c r="AC33" s="613"/>
      <c r="AD33" s="613"/>
    </row>
    <row r="34" spans="1:30" s="224" customFormat="1" ht="13.5" customHeight="1">
      <c r="A34" s="225">
        <v>26</v>
      </c>
      <c r="B34" s="216"/>
      <c r="C34" s="610"/>
      <c r="D34" s="241" t="s">
        <v>2101</v>
      </c>
      <c r="E34" s="241"/>
      <c r="F34" s="241"/>
      <c r="G34" s="241"/>
      <c r="H34" s="575" t="s">
        <v>2102</v>
      </c>
      <c r="I34" s="611">
        <v>92300</v>
      </c>
      <c r="J34" s="575"/>
      <c r="K34" s="611" t="s">
        <v>1094</v>
      </c>
      <c r="L34" s="575"/>
      <c r="M34" s="575"/>
      <c r="N34" s="575"/>
      <c r="O34" s="575"/>
      <c r="P34" s="612"/>
      <c r="Q34" s="575" t="s">
        <v>820</v>
      </c>
      <c r="R34" s="613"/>
      <c r="S34" s="575" t="s">
        <v>863</v>
      </c>
      <c r="T34" s="613"/>
      <c r="U34" s="575"/>
      <c r="V34" s="614"/>
      <c r="W34" s="614"/>
      <c r="X34" s="232"/>
      <c r="Y34" s="615"/>
      <c r="Z34" s="575"/>
      <c r="AA34" s="616"/>
      <c r="AB34" s="575"/>
      <c r="AC34" s="613"/>
      <c r="AD34" s="613"/>
    </row>
    <row r="35" spans="1:30" s="224" customFormat="1" ht="13.5" customHeight="1">
      <c r="A35" s="225">
        <v>27</v>
      </c>
      <c r="B35" s="216"/>
      <c r="C35" s="610"/>
      <c r="D35" s="241" t="s">
        <v>388</v>
      </c>
      <c r="E35" s="241"/>
      <c r="F35" s="241"/>
      <c r="G35" s="241"/>
      <c r="H35" s="575" t="s">
        <v>1095</v>
      </c>
      <c r="I35" s="611" t="s">
        <v>2103</v>
      </c>
      <c r="J35" s="575"/>
      <c r="K35" s="611" t="s">
        <v>2104</v>
      </c>
      <c r="L35" s="575"/>
      <c r="M35" s="575"/>
      <c r="N35" s="575"/>
      <c r="O35" s="575"/>
      <c r="P35" s="612"/>
      <c r="Q35" s="575" t="s">
        <v>820</v>
      </c>
      <c r="R35" s="613"/>
      <c r="S35" s="575" t="s">
        <v>863</v>
      </c>
      <c r="T35" s="613"/>
      <c r="U35" s="575"/>
      <c r="V35" s="614"/>
      <c r="W35" s="614"/>
      <c r="X35" s="232"/>
      <c r="Y35" s="615"/>
      <c r="Z35" s="575"/>
      <c r="AA35" s="616"/>
      <c r="AB35" s="575"/>
      <c r="AC35" s="613"/>
      <c r="AD35" s="613"/>
    </row>
    <row r="36" spans="1:30" s="224" customFormat="1" ht="13.5" customHeight="1">
      <c r="A36" s="225">
        <v>28</v>
      </c>
      <c r="B36" s="240" t="s">
        <v>2301</v>
      </c>
      <c r="C36" s="533"/>
      <c r="D36" s="533"/>
      <c r="E36" s="533"/>
      <c r="F36" s="533"/>
      <c r="G36" s="533"/>
      <c r="H36" s="630"/>
      <c r="I36" s="631"/>
      <c r="J36" s="575"/>
      <c r="K36" s="611" t="s">
        <v>2302</v>
      </c>
      <c r="L36" s="575"/>
      <c r="M36" s="575"/>
      <c r="N36" s="575"/>
      <c r="O36" s="575"/>
      <c r="P36" s="612"/>
      <c r="Q36" s="575" t="s">
        <v>820</v>
      </c>
      <c r="R36" s="613" t="s">
        <v>864</v>
      </c>
      <c r="S36" s="243" t="s">
        <v>2302</v>
      </c>
      <c r="T36" s="613"/>
      <c r="U36" s="575"/>
      <c r="V36" s="614"/>
      <c r="W36" s="614"/>
      <c r="X36" s="232"/>
      <c r="Y36" s="615"/>
      <c r="Z36" s="575"/>
      <c r="AA36" s="616"/>
      <c r="AB36" s="575"/>
      <c r="AC36" s="613"/>
      <c r="AD36" s="613"/>
    </row>
    <row r="37" spans="1:30" s="224" customFormat="1" ht="13.5" customHeight="1">
      <c r="A37" s="225">
        <v>29</v>
      </c>
      <c r="B37" s="240"/>
      <c r="C37" s="241" t="s">
        <v>2105</v>
      </c>
      <c r="D37" s="241"/>
      <c r="E37" s="241"/>
      <c r="F37" s="241"/>
      <c r="G37" s="241"/>
      <c r="H37" s="630"/>
      <c r="I37" s="611"/>
      <c r="J37" s="575"/>
      <c r="K37" s="611" t="s">
        <v>1041</v>
      </c>
      <c r="L37" s="575"/>
      <c r="M37" s="575"/>
      <c r="N37" s="575"/>
      <c r="O37" s="575"/>
      <c r="P37" s="612"/>
      <c r="Q37" s="575" t="s">
        <v>820</v>
      </c>
      <c r="R37" s="613" t="s">
        <v>864</v>
      </c>
      <c r="S37" s="575" t="s">
        <v>863</v>
      </c>
      <c r="T37" s="613"/>
      <c r="U37" s="575"/>
      <c r="V37" s="614"/>
      <c r="W37" s="614"/>
      <c r="X37" s="232"/>
      <c r="Y37" s="615"/>
      <c r="Z37" s="575"/>
      <c r="AA37" s="616"/>
      <c r="AB37" s="575"/>
      <c r="AC37" s="613"/>
      <c r="AD37" s="613"/>
    </row>
    <row r="38" spans="1:30" s="224" customFormat="1" ht="13.5" customHeight="1">
      <c r="A38" s="225">
        <v>30</v>
      </c>
      <c r="B38" s="240"/>
      <c r="C38" s="241"/>
      <c r="D38" s="241" t="s">
        <v>2303</v>
      </c>
      <c r="E38" s="241"/>
      <c r="F38" s="241"/>
      <c r="G38" s="241"/>
      <c r="H38" s="575" t="s">
        <v>2304</v>
      </c>
      <c r="I38" s="611" t="s">
        <v>2305</v>
      </c>
      <c r="J38" s="575"/>
      <c r="K38" s="611" t="s">
        <v>958</v>
      </c>
      <c r="L38" s="575"/>
      <c r="M38" s="575"/>
      <c r="N38" s="575"/>
      <c r="O38" s="575"/>
      <c r="P38" s="612"/>
      <c r="Q38" s="575" t="s">
        <v>817</v>
      </c>
      <c r="R38" s="613"/>
      <c r="S38" s="575" t="s">
        <v>863</v>
      </c>
      <c r="T38" s="613" t="s">
        <v>864</v>
      </c>
      <c r="U38" s="575"/>
      <c r="V38" s="614"/>
      <c r="W38" s="614"/>
      <c r="X38" s="232"/>
      <c r="Y38" s="615"/>
      <c r="Z38" s="575"/>
      <c r="AA38" s="616"/>
      <c r="AB38" s="575"/>
      <c r="AC38" s="613"/>
      <c r="AD38" s="613"/>
    </row>
    <row r="39" spans="1:30" s="224" customFormat="1" ht="13.5" customHeight="1">
      <c r="A39" s="225">
        <v>31</v>
      </c>
      <c r="B39" s="240"/>
      <c r="C39" s="241"/>
      <c r="D39" s="241" t="s">
        <v>2306</v>
      </c>
      <c r="E39" s="241"/>
      <c r="F39" s="241"/>
      <c r="G39" s="241"/>
      <c r="H39" s="575" t="s">
        <v>2307</v>
      </c>
      <c r="I39" s="611"/>
      <c r="J39" s="575"/>
      <c r="K39" s="611" t="s">
        <v>2308</v>
      </c>
      <c r="L39" s="575"/>
      <c r="M39" s="575"/>
      <c r="N39" s="575"/>
      <c r="O39" s="575"/>
      <c r="P39" s="612"/>
      <c r="Q39" s="575" t="s">
        <v>817</v>
      </c>
      <c r="R39" s="613"/>
      <c r="S39" s="575" t="s">
        <v>863</v>
      </c>
      <c r="T39" s="613"/>
      <c r="U39" s="575"/>
      <c r="V39" s="614"/>
      <c r="W39" s="614"/>
      <c r="X39" s="232"/>
      <c r="Y39" s="615"/>
      <c r="Z39" s="575"/>
      <c r="AA39" s="616"/>
      <c r="AB39" s="575"/>
      <c r="AC39" s="613"/>
      <c r="AD39" s="613"/>
    </row>
    <row r="40" spans="1:30" s="224" customFormat="1" ht="13.5" customHeight="1">
      <c r="A40" s="225">
        <v>32</v>
      </c>
      <c r="B40" s="240"/>
      <c r="C40" s="241"/>
      <c r="D40" s="241" t="s">
        <v>2309</v>
      </c>
      <c r="E40" s="241"/>
      <c r="F40" s="241"/>
      <c r="G40" s="241"/>
      <c r="H40" s="575" t="s">
        <v>2310</v>
      </c>
      <c r="I40" s="611"/>
      <c r="J40" s="575"/>
      <c r="K40" s="611" t="s">
        <v>2311</v>
      </c>
      <c r="L40" s="575"/>
      <c r="M40" s="575"/>
      <c r="N40" s="575"/>
      <c r="O40" s="575"/>
      <c r="P40" s="612"/>
      <c r="Q40" s="575" t="s">
        <v>817</v>
      </c>
      <c r="R40" s="613"/>
      <c r="S40" s="575" t="s">
        <v>863</v>
      </c>
      <c r="T40" s="613"/>
      <c r="U40" s="575"/>
      <c r="V40" s="614"/>
      <c r="W40" s="614"/>
      <c r="X40" s="232"/>
      <c r="Y40" s="615"/>
      <c r="Z40" s="575"/>
      <c r="AA40" s="616"/>
      <c r="AB40" s="575"/>
      <c r="AC40" s="613"/>
      <c r="AD40" s="613"/>
    </row>
    <row r="41" spans="1:30" s="224" customFormat="1" ht="13.5" customHeight="1">
      <c r="A41" s="225">
        <v>33</v>
      </c>
      <c r="B41" s="216"/>
      <c r="C41" s="241"/>
      <c r="D41" s="241" t="s">
        <v>2312</v>
      </c>
      <c r="E41" s="533"/>
      <c r="F41" s="533"/>
      <c r="G41" s="533"/>
      <c r="H41" s="630"/>
      <c r="I41" s="631"/>
      <c r="J41" s="575"/>
      <c r="K41" s="611" t="s">
        <v>1069</v>
      </c>
      <c r="L41" s="575"/>
      <c r="M41" s="575"/>
      <c r="N41" s="575"/>
      <c r="O41" s="575"/>
      <c r="P41" s="612"/>
      <c r="Q41" s="575" t="s">
        <v>817</v>
      </c>
      <c r="R41" s="613" t="s">
        <v>864</v>
      </c>
      <c r="S41" s="243" t="s">
        <v>1069</v>
      </c>
      <c r="T41" s="613"/>
      <c r="U41" s="575"/>
      <c r="V41" s="614"/>
      <c r="W41" s="614"/>
      <c r="X41" s="232"/>
      <c r="Y41" s="615"/>
      <c r="Z41" s="575"/>
      <c r="AA41" s="616"/>
      <c r="AB41" s="575"/>
      <c r="AC41" s="613"/>
      <c r="AD41" s="613"/>
    </row>
    <row r="42" spans="1:30" s="224" customFormat="1" ht="13.5" customHeight="1">
      <c r="A42" s="225">
        <v>34</v>
      </c>
      <c r="B42" s="240"/>
      <c r="C42" s="241"/>
      <c r="D42" s="241"/>
      <c r="E42" s="241" t="s">
        <v>392</v>
      </c>
      <c r="F42" s="241"/>
      <c r="G42" s="241"/>
      <c r="H42" s="575" t="s">
        <v>2313</v>
      </c>
      <c r="I42" s="611">
        <v>92300</v>
      </c>
      <c r="J42" s="575"/>
      <c r="K42" s="611" t="s">
        <v>2104</v>
      </c>
      <c r="L42" s="575"/>
      <c r="M42" s="575"/>
      <c r="N42" s="575"/>
      <c r="O42" s="575"/>
      <c r="P42" s="612"/>
      <c r="Q42" s="575" t="s">
        <v>820</v>
      </c>
      <c r="R42" s="613"/>
      <c r="S42" s="575" t="s">
        <v>863</v>
      </c>
      <c r="T42" s="613"/>
      <c r="U42" s="575"/>
      <c r="V42" s="614"/>
      <c r="W42" s="614"/>
      <c r="X42" s="232"/>
      <c r="Y42" s="615"/>
      <c r="Z42" s="575"/>
      <c r="AA42" s="616"/>
      <c r="AB42" s="575"/>
      <c r="AC42" s="613"/>
      <c r="AD42" s="613"/>
    </row>
    <row r="43" spans="1:30" s="224" customFormat="1" ht="13.5" customHeight="1">
      <c r="A43" s="225">
        <v>35</v>
      </c>
      <c r="B43" s="240"/>
      <c r="C43" s="241"/>
      <c r="D43" s="241"/>
      <c r="E43" s="241" t="s">
        <v>388</v>
      </c>
      <c r="F43" s="241"/>
      <c r="G43" s="241"/>
      <c r="H43" s="575" t="s">
        <v>1095</v>
      </c>
      <c r="I43" s="611" t="s">
        <v>2103</v>
      </c>
      <c r="J43" s="575"/>
      <c r="K43" s="611" t="s">
        <v>1094</v>
      </c>
      <c r="L43" s="575"/>
      <c r="M43" s="575"/>
      <c r="N43" s="575"/>
      <c r="O43" s="575"/>
      <c r="P43" s="612"/>
      <c r="Q43" s="575" t="s">
        <v>820</v>
      </c>
      <c r="R43" s="613"/>
      <c r="S43" s="575" t="s">
        <v>863</v>
      </c>
      <c r="T43" s="613"/>
      <c r="U43" s="575"/>
      <c r="V43" s="614"/>
      <c r="W43" s="614"/>
      <c r="X43" s="232"/>
      <c r="Y43" s="615"/>
      <c r="Z43" s="575"/>
      <c r="AA43" s="616"/>
      <c r="AB43" s="575"/>
      <c r="AC43" s="613"/>
      <c r="AD43" s="613"/>
    </row>
    <row r="44" spans="1:30" s="224" customFormat="1" ht="13.5" customHeight="1">
      <c r="A44" s="225">
        <v>36</v>
      </c>
      <c r="B44" s="216"/>
      <c r="C44" s="241" t="s">
        <v>2314</v>
      </c>
      <c r="D44" s="241"/>
      <c r="E44" s="241"/>
      <c r="F44" s="241"/>
      <c r="G44" s="241"/>
      <c r="H44" s="386" t="s">
        <v>2315</v>
      </c>
      <c r="I44" s="611"/>
      <c r="J44" s="575"/>
      <c r="K44" s="611" t="s">
        <v>2316</v>
      </c>
      <c r="L44" s="575"/>
      <c r="M44" s="575"/>
      <c r="N44" s="575"/>
      <c r="O44" s="575"/>
      <c r="P44" s="612"/>
      <c r="Q44" s="575" t="s">
        <v>820</v>
      </c>
      <c r="R44" s="613" t="s">
        <v>864</v>
      </c>
      <c r="S44" s="243" t="s">
        <v>2316</v>
      </c>
      <c r="T44" s="613"/>
      <c r="U44" s="575"/>
      <c r="V44" s="614"/>
      <c r="W44" s="614"/>
      <c r="X44" s="232"/>
      <c r="Y44" s="615"/>
      <c r="Z44" s="575"/>
      <c r="AA44" s="616"/>
      <c r="AB44" s="575"/>
      <c r="AC44" s="613"/>
      <c r="AD44" s="613"/>
    </row>
    <row r="45" spans="1:30" s="224" customFormat="1" ht="13.5" customHeight="1">
      <c r="A45" s="225">
        <v>37</v>
      </c>
      <c r="B45" s="217"/>
      <c r="C45" s="241"/>
      <c r="D45" s="241" t="s">
        <v>2317</v>
      </c>
      <c r="E45" s="241"/>
      <c r="F45" s="241"/>
      <c r="G45" s="241"/>
      <c r="H45" s="575" t="s">
        <v>2318</v>
      </c>
      <c r="I45" s="611" t="s">
        <v>774</v>
      </c>
      <c r="J45" s="575"/>
      <c r="K45" s="611" t="s">
        <v>2319</v>
      </c>
      <c r="L45" s="575"/>
      <c r="M45" s="575"/>
      <c r="N45" s="575"/>
      <c r="O45" s="575"/>
      <c r="P45" s="612"/>
      <c r="Q45" s="575" t="s">
        <v>820</v>
      </c>
      <c r="R45" s="613"/>
      <c r="S45" s="575" t="s">
        <v>2124</v>
      </c>
      <c r="T45" s="613"/>
      <c r="U45" s="575"/>
      <c r="V45" s="614"/>
      <c r="W45" s="614"/>
      <c r="X45" s="232"/>
      <c r="Y45" s="615"/>
      <c r="Z45" s="575"/>
      <c r="AA45" s="616"/>
      <c r="AB45" s="575"/>
      <c r="AC45" s="613"/>
      <c r="AD45" s="613"/>
    </row>
    <row r="46" spans="1:30" s="224" customFormat="1" ht="13.5" customHeight="1">
      <c r="A46" s="225">
        <v>38</v>
      </c>
      <c r="B46" s="217"/>
      <c r="C46" s="241"/>
      <c r="D46" s="241" t="s">
        <v>2320</v>
      </c>
      <c r="E46" s="241"/>
      <c r="F46" s="241"/>
      <c r="G46" s="241"/>
      <c r="H46" s="575" t="s">
        <v>2321</v>
      </c>
      <c r="I46" s="611" t="s">
        <v>770</v>
      </c>
      <c r="J46" s="575"/>
      <c r="K46" s="611" t="s">
        <v>2322</v>
      </c>
      <c r="L46" s="575"/>
      <c r="M46" s="575"/>
      <c r="N46" s="575"/>
      <c r="O46" s="575"/>
      <c r="P46" s="612"/>
      <c r="Q46" s="575" t="s">
        <v>820</v>
      </c>
      <c r="R46" s="613"/>
      <c r="S46" s="575" t="s">
        <v>2124</v>
      </c>
      <c r="T46" s="613"/>
      <c r="U46" s="575"/>
      <c r="V46" s="614"/>
      <c r="W46" s="614"/>
      <c r="X46" s="232"/>
      <c r="Y46" s="615"/>
      <c r="Z46" s="575"/>
      <c r="AA46" s="616"/>
      <c r="AB46" s="575"/>
      <c r="AC46" s="613"/>
      <c r="AD46" s="613"/>
    </row>
    <row r="47" spans="1:30" s="224" customFormat="1" ht="13.5" customHeight="1">
      <c r="A47" s="225">
        <v>39</v>
      </c>
      <c r="B47" s="217"/>
      <c r="C47" s="241"/>
      <c r="D47" s="241" t="s">
        <v>2323</v>
      </c>
      <c r="E47" s="241"/>
      <c r="F47" s="241"/>
      <c r="G47" s="241"/>
      <c r="H47" s="575" t="s">
        <v>2324</v>
      </c>
      <c r="I47" s="611" t="s">
        <v>774</v>
      </c>
      <c r="J47" s="575"/>
      <c r="K47" s="611" t="s">
        <v>2325</v>
      </c>
      <c r="L47" s="575"/>
      <c r="M47" s="575"/>
      <c r="N47" s="575"/>
      <c r="O47" s="575"/>
      <c r="P47" s="612"/>
      <c r="Q47" s="575" t="s">
        <v>820</v>
      </c>
      <c r="R47" s="613"/>
      <c r="S47" s="575" t="s">
        <v>2124</v>
      </c>
      <c r="T47" s="613"/>
      <c r="U47" s="575"/>
      <c r="V47" s="614"/>
      <c r="W47" s="614"/>
      <c r="X47" s="232"/>
      <c r="Y47" s="615"/>
      <c r="Z47" s="575"/>
      <c r="AA47" s="616"/>
      <c r="AB47" s="575"/>
      <c r="AC47" s="613"/>
      <c r="AD47" s="613"/>
    </row>
    <row r="48" spans="1:30" s="224" customFormat="1" ht="13.5" customHeight="1">
      <c r="A48" s="225">
        <v>40</v>
      </c>
      <c r="B48" s="216"/>
      <c r="C48" s="241" t="s">
        <v>2326</v>
      </c>
      <c r="D48" s="241"/>
      <c r="E48" s="241"/>
      <c r="F48" s="241"/>
      <c r="G48" s="241"/>
      <c r="H48" s="575" t="s">
        <v>2327</v>
      </c>
      <c r="I48" s="611" t="s">
        <v>2328</v>
      </c>
      <c r="J48" s="575"/>
      <c r="K48" s="611" t="s">
        <v>2329</v>
      </c>
      <c r="L48" s="575"/>
      <c r="M48" s="575"/>
      <c r="N48" s="575"/>
      <c r="O48" s="575"/>
      <c r="P48" s="612"/>
      <c r="Q48" s="575" t="s">
        <v>823</v>
      </c>
      <c r="R48" s="613"/>
      <c r="S48" s="575" t="s">
        <v>863</v>
      </c>
      <c r="T48" s="613" t="s">
        <v>864</v>
      </c>
      <c r="U48" s="575"/>
      <c r="V48" s="614"/>
      <c r="W48" s="614"/>
      <c r="X48" s="232"/>
      <c r="Y48" s="615"/>
      <c r="Z48" s="575"/>
      <c r="AA48" s="616"/>
      <c r="AB48" s="575"/>
      <c r="AC48" s="613"/>
      <c r="AD48" s="613"/>
    </row>
    <row r="49" spans="1:30" s="224" customFormat="1" ht="13.5" customHeight="1">
      <c r="A49" s="225">
        <v>41</v>
      </c>
      <c r="B49" s="216"/>
      <c r="C49" s="241" t="s">
        <v>2330</v>
      </c>
      <c r="D49" s="241"/>
      <c r="E49" s="241"/>
      <c r="F49" s="241"/>
      <c r="G49" s="241"/>
      <c r="H49" s="575" t="s">
        <v>2331</v>
      </c>
      <c r="I49" s="611" t="s">
        <v>2332</v>
      </c>
      <c r="J49" s="575"/>
      <c r="K49" s="611" t="s">
        <v>1505</v>
      </c>
      <c r="L49" s="575"/>
      <c r="M49" s="575"/>
      <c r="N49" s="575"/>
      <c r="O49" s="575"/>
      <c r="P49" s="612"/>
      <c r="Q49" s="575" t="s">
        <v>820</v>
      </c>
      <c r="R49" s="613"/>
      <c r="S49" s="575" t="s">
        <v>863</v>
      </c>
      <c r="T49" s="613" t="s">
        <v>864</v>
      </c>
      <c r="U49" s="575"/>
      <c r="V49" s="614"/>
      <c r="W49" s="614"/>
      <c r="X49" s="232"/>
      <c r="Y49" s="615"/>
      <c r="Z49" s="575"/>
      <c r="AA49" s="616"/>
      <c r="AB49" s="575"/>
      <c r="AC49" s="613"/>
      <c r="AD49" s="613"/>
    </row>
    <row r="50" spans="1:30" s="224" customFormat="1" ht="13.5" customHeight="1">
      <c r="A50" s="225">
        <v>42</v>
      </c>
      <c r="B50" s="216"/>
      <c r="C50" s="241" t="s">
        <v>2333</v>
      </c>
      <c r="D50" s="241"/>
      <c r="E50" s="241"/>
      <c r="F50" s="241"/>
      <c r="G50" s="241"/>
      <c r="H50" s="575" t="s">
        <v>2331</v>
      </c>
      <c r="I50" s="611" t="s">
        <v>2334</v>
      </c>
      <c r="J50" s="575"/>
      <c r="K50" s="611" t="s">
        <v>2335</v>
      </c>
      <c r="L50" s="575"/>
      <c r="M50" s="575"/>
      <c r="N50" s="575"/>
      <c r="O50" s="575"/>
      <c r="P50" s="612"/>
      <c r="Q50" s="575" t="s">
        <v>817</v>
      </c>
      <c r="R50" s="613"/>
      <c r="S50" s="575" t="s">
        <v>863</v>
      </c>
      <c r="T50" s="613" t="s">
        <v>864</v>
      </c>
      <c r="U50" s="575"/>
      <c r="V50" s="614"/>
      <c r="W50" s="614"/>
      <c r="X50" s="232"/>
      <c r="Y50" s="615"/>
      <c r="Z50" s="575"/>
      <c r="AA50" s="616"/>
      <c r="AB50" s="575"/>
      <c r="AC50" s="613"/>
      <c r="AD50" s="613"/>
    </row>
    <row r="51" spans="1:30" s="224" customFormat="1" ht="13.5" customHeight="1">
      <c r="A51" s="225">
        <v>43</v>
      </c>
      <c r="B51" s="216"/>
      <c r="C51" s="241" t="s">
        <v>2336</v>
      </c>
      <c r="D51" s="533"/>
      <c r="E51" s="533"/>
      <c r="F51" s="533"/>
      <c r="G51" s="533"/>
      <c r="H51" s="630"/>
      <c r="I51" s="631"/>
      <c r="J51" s="575"/>
      <c r="K51" s="611" t="s">
        <v>2337</v>
      </c>
      <c r="L51" s="575"/>
      <c r="M51" s="575"/>
      <c r="N51" s="575"/>
      <c r="O51" s="575"/>
      <c r="P51" s="612"/>
      <c r="Q51" s="575" t="s">
        <v>817</v>
      </c>
      <c r="R51" s="613" t="s">
        <v>864</v>
      </c>
      <c r="S51" s="243" t="s">
        <v>2338</v>
      </c>
      <c r="T51" s="613"/>
      <c r="U51" s="575"/>
      <c r="V51" s="614"/>
      <c r="W51" s="614"/>
      <c r="X51" s="232"/>
      <c r="Y51" s="615"/>
      <c r="Z51" s="575"/>
      <c r="AA51" s="616"/>
      <c r="AB51" s="575"/>
      <c r="AC51" s="613"/>
      <c r="AD51" s="613"/>
    </row>
    <row r="52" spans="1:30" s="224" customFormat="1" ht="13.5" customHeight="1">
      <c r="A52" s="225">
        <v>44</v>
      </c>
      <c r="B52" s="216"/>
      <c r="C52" s="241"/>
      <c r="D52" s="241" t="s">
        <v>2339</v>
      </c>
      <c r="E52" s="241"/>
      <c r="F52" s="241"/>
      <c r="G52" s="241"/>
      <c r="H52" s="575" t="s">
        <v>2262</v>
      </c>
      <c r="I52" s="611" t="s">
        <v>930</v>
      </c>
      <c r="J52" s="575"/>
      <c r="K52" s="611" t="s">
        <v>2340</v>
      </c>
      <c r="L52" s="575"/>
      <c r="M52" s="575"/>
      <c r="N52" s="575"/>
      <c r="O52" s="575"/>
      <c r="P52" s="612"/>
      <c r="Q52" s="575" t="s">
        <v>820</v>
      </c>
      <c r="R52" s="613"/>
      <c r="S52" s="575" t="s">
        <v>879</v>
      </c>
      <c r="T52" s="613"/>
      <c r="U52" s="575"/>
      <c r="V52" s="614"/>
      <c r="W52" s="614"/>
      <c r="X52" s="232"/>
      <c r="Y52" s="615"/>
      <c r="Z52" s="575"/>
      <c r="AA52" s="616"/>
      <c r="AB52" s="575"/>
      <c r="AC52" s="613"/>
      <c r="AD52" s="613"/>
    </row>
    <row r="53" spans="1:30" s="224" customFormat="1" ht="13.5" customHeight="1">
      <c r="A53" s="225">
        <v>45</v>
      </c>
      <c r="B53" s="216"/>
      <c r="C53" s="241"/>
      <c r="D53" s="241" t="s">
        <v>2341</v>
      </c>
      <c r="E53" s="241"/>
      <c r="F53" s="241"/>
      <c r="G53" s="241"/>
      <c r="H53" s="575" t="s">
        <v>2262</v>
      </c>
      <c r="I53" s="611" t="s">
        <v>930</v>
      </c>
      <c r="J53" s="575"/>
      <c r="K53" s="611" t="s">
        <v>2342</v>
      </c>
      <c r="L53" s="575"/>
      <c r="M53" s="575"/>
      <c r="N53" s="575"/>
      <c r="O53" s="575"/>
      <c r="P53" s="612"/>
      <c r="Q53" s="575" t="s">
        <v>817</v>
      </c>
      <c r="R53" s="613"/>
      <c r="S53" s="575" t="s">
        <v>879</v>
      </c>
      <c r="T53" s="613"/>
      <c r="U53" s="575"/>
      <c r="V53" s="614"/>
      <c r="W53" s="614"/>
      <c r="X53" s="232"/>
      <c r="Y53" s="615"/>
      <c r="Z53" s="575"/>
      <c r="AA53" s="616"/>
      <c r="AB53" s="575"/>
      <c r="AC53" s="613"/>
      <c r="AD53" s="613"/>
    </row>
    <row r="54" spans="1:30" s="224" customFormat="1" ht="13.5" customHeight="1">
      <c r="A54" s="225">
        <v>46</v>
      </c>
      <c r="B54" s="216"/>
      <c r="C54" s="241"/>
      <c r="D54" s="241" t="s">
        <v>2343</v>
      </c>
      <c r="E54" s="241"/>
      <c r="F54" s="241"/>
      <c r="G54" s="241"/>
      <c r="H54" s="575" t="s">
        <v>2262</v>
      </c>
      <c r="I54" s="611" t="s">
        <v>930</v>
      </c>
      <c r="J54" s="575"/>
      <c r="K54" s="611" t="s">
        <v>2344</v>
      </c>
      <c r="L54" s="575"/>
      <c r="M54" s="575"/>
      <c r="N54" s="575"/>
      <c r="O54" s="575"/>
      <c r="P54" s="612"/>
      <c r="Q54" s="575" t="s">
        <v>817</v>
      </c>
      <c r="R54" s="613"/>
      <c r="S54" s="575" t="s">
        <v>879</v>
      </c>
      <c r="T54" s="613"/>
      <c r="U54" s="575"/>
      <c r="V54" s="614"/>
      <c r="W54" s="614"/>
      <c r="X54" s="232"/>
      <c r="Y54" s="615"/>
      <c r="Z54" s="575"/>
      <c r="AA54" s="616"/>
      <c r="AB54" s="575"/>
      <c r="AC54" s="613"/>
      <c r="AD54" s="613"/>
    </row>
    <row r="55" spans="1:30" s="224" customFormat="1" ht="13.5" customHeight="1">
      <c r="A55" s="225">
        <v>47</v>
      </c>
      <c r="B55" s="216"/>
      <c r="C55" s="241"/>
      <c r="D55" s="241" t="s">
        <v>2345</v>
      </c>
      <c r="E55" s="241"/>
      <c r="F55" s="241"/>
      <c r="G55" s="241"/>
      <c r="H55" s="575" t="s">
        <v>2262</v>
      </c>
      <c r="I55" s="611" t="s">
        <v>930</v>
      </c>
      <c r="J55" s="575"/>
      <c r="K55" s="611" t="s">
        <v>2346</v>
      </c>
      <c r="L55" s="575"/>
      <c r="M55" s="575"/>
      <c r="N55" s="575"/>
      <c r="O55" s="575"/>
      <c r="P55" s="612"/>
      <c r="Q55" s="575" t="s">
        <v>817</v>
      </c>
      <c r="R55" s="613"/>
      <c r="S55" s="575" t="s">
        <v>879</v>
      </c>
      <c r="T55" s="613"/>
      <c r="U55" s="575"/>
      <c r="V55" s="614"/>
      <c r="W55" s="614"/>
      <c r="X55" s="232"/>
      <c r="Y55" s="615"/>
      <c r="Z55" s="575"/>
      <c r="AA55" s="616"/>
      <c r="AB55" s="575"/>
      <c r="AC55" s="613"/>
      <c r="AD55" s="613"/>
    </row>
    <row r="56" spans="1:30" s="224" customFormat="1" ht="13.5" customHeight="1">
      <c r="A56" s="225">
        <v>48</v>
      </c>
      <c r="B56" s="216"/>
      <c r="C56" s="241"/>
      <c r="D56" s="241" t="s">
        <v>2347</v>
      </c>
      <c r="E56" s="241"/>
      <c r="F56" s="241"/>
      <c r="G56" s="241"/>
      <c r="H56" s="575" t="s">
        <v>2262</v>
      </c>
      <c r="I56" s="611" t="s">
        <v>930</v>
      </c>
      <c r="J56" s="575"/>
      <c r="K56" s="611" t="s">
        <v>2348</v>
      </c>
      <c r="L56" s="575"/>
      <c r="M56" s="575"/>
      <c r="N56" s="575"/>
      <c r="O56" s="575"/>
      <c r="P56" s="612"/>
      <c r="Q56" s="575" t="s">
        <v>820</v>
      </c>
      <c r="R56" s="613"/>
      <c r="S56" s="575" t="s">
        <v>879</v>
      </c>
      <c r="T56" s="613"/>
      <c r="U56" s="575"/>
      <c r="V56" s="614"/>
      <c r="W56" s="614"/>
      <c r="X56" s="232"/>
      <c r="Y56" s="615"/>
      <c r="Z56" s="575"/>
      <c r="AA56" s="616"/>
      <c r="AB56" s="575"/>
      <c r="AC56" s="613"/>
      <c r="AD56" s="613"/>
    </row>
    <row r="57" spans="1:30" s="224" customFormat="1" ht="13.5" customHeight="1">
      <c r="A57" s="225">
        <v>49</v>
      </c>
      <c r="B57" s="216"/>
      <c r="C57" s="241"/>
      <c r="D57" s="241" t="s">
        <v>2349</v>
      </c>
      <c r="E57" s="241"/>
      <c r="F57" s="241"/>
      <c r="G57" s="241"/>
      <c r="H57" s="575" t="s">
        <v>2262</v>
      </c>
      <c r="I57" s="611" t="s">
        <v>930</v>
      </c>
      <c r="J57" s="575"/>
      <c r="K57" s="611" t="s">
        <v>2350</v>
      </c>
      <c r="L57" s="575"/>
      <c r="M57" s="575"/>
      <c r="N57" s="575"/>
      <c r="O57" s="575"/>
      <c r="P57" s="612"/>
      <c r="Q57" s="575" t="s">
        <v>820</v>
      </c>
      <c r="R57" s="613"/>
      <c r="S57" s="575" t="s">
        <v>879</v>
      </c>
      <c r="T57" s="613"/>
      <c r="U57" s="575"/>
      <c r="V57" s="614"/>
      <c r="W57" s="614"/>
      <c r="X57" s="232"/>
      <c r="Y57" s="615"/>
      <c r="Z57" s="575"/>
      <c r="AA57" s="616"/>
      <c r="AB57" s="575"/>
      <c r="AC57" s="613"/>
      <c r="AD57" s="613"/>
    </row>
    <row r="58" spans="1:30" s="224" customFormat="1" ht="13.5" customHeight="1">
      <c r="A58" s="225">
        <v>50</v>
      </c>
      <c r="B58" s="216" t="s">
        <v>2351</v>
      </c>
      <c r="C58" s="632"/>
      <c r="D58" s="632"/>
      <c r="E58" s="533"/>
      <c r="F58" s="533"/>
      <c r="G58" s="533"/>
      <c r="H58" s="630"/>
      <c r="I58" s="631"/>
      <c r="J58" s="575"/>
      <c r="K58" s="611" t="s">
        <v>1550</v>
      </c>
      <c r="L58" s="575"/>
      <c r="M58" s="575"/>
      <c r="N58" s="575"/>
      <c r="O58" s="575"/>
      <c r="P58" s="612"/>
      <c r="Q58" s="575" t="s">
        <v>820</v>
      </c>
      <c r="R58" s="613" t="s">
        <v>864</v>
      </c>
      <c r="S58" s="243" t="s">
        <v>1550</v>
      </c>
      <c r="T58" s="613"/>
      <c r="U58" s="575"/>
      <c r="V58" s="614"/>
      <c r="W58" s="614"/>
      <c r="X58" s="232"/>
      <c r="Y58" s="615"/>
      <c r="Z58" s="575"/>
      <c r="AA58" s="616"/>
      <c r="AB58" s="575"/>
      <c r="AC58" s="613"/>
      <c r="AD58" s="613"/>
    </row>
    <row r="59" spans="1:30" s="224" customFormat="1" ht="13.5" customHeight="1">
      <c r="A59" s="225">
        <v>51</v>
      </c>
      <c r="B59" s="216"/>
      <c r="C59" s="610" t="s">
        <v>1547</v>
      </c>
      <c r="D59" s="610"/>
      <c r="E59" s="241"/>
      <c r="F59" s="241"/>
      <c r="G59" s="241"/>
      <c r="H59" s="575" t="s">
        <v>2195</v>
      </c>
      <c r="I59" s="611" t="s">
        <v>2352</v>
      </c>
      <c r="J59" s="575"/>
      <c r="K59" s="611" t="s">
        <v>958</v>
      </c>
      <c r="L59" s="575"/>
      <c r="M59" s="575"/>
      <c r="N59" s="575"/>
      <c r="O59" s="575"/>
      <c r="P59" s="612"/>
      <c r="Q59" s="575" t="s">
        <v>820</v>
      </c>
      <c r="R59" s="613"/>
      <c r="S59" s="575" t="s">
        <v>863</v>
      </c>
      <c r="T59" s="613"/>
      <c r="U59" s="575"/>
      <c r="V59" s="614"/>
      <c r="W59" s="614"/>
      <c r="X59" s="232"/>
      <c r="Y59" s="615"/>
      <c r="Z59" s="575"/>
      <c r="AA59" s="616"/>
      <c r="AB59" s="575"/>
      <c r="AC59" s="613"/>
      <c r="AD59" s="613"/>
    </row>
    <row r="60" spans="1:30" s="224" customFormat="1" ht="13.5" customHeight="1">
      <c r="A60" s="225">
        <v>52</v>
      </c>
      <c r="B60" s="216"/>
      <c r="C60" s="217" t="s">
        <v>1568</v>
      </c>
      <c r="D60" s="533"/>
      <c r="E60" s="533"/>
      <c r="F60" s="533"/>
      <c r="G60" s="533"/>
      <c r="H60" s="630"/>
      <c r="I60" s="631"/>
      <c r="J60" s="575"/>
      <c r="K60" s="611" t="s">
        <v>2353</v>
      </c>
      <c r="L60" s="575"/>
      <c r="M60" s="575"/>
      <c r="N60" s="575"/>
      <c r="O60" s="575"/>
      <c r="P60" s="612"/>
      <c r="Q60" s="575" t="s">
        <v>817</v>
      </c>
      <c r="R60" s="613" t="s">
        <v>864</v>
      </c>
      <c r="S60" s="243" t="s">
        <v>1569</v>
      </c>
      <c r="T60" s="613"/>
      <c r="U60" s="575"/>
      <c r="V60" s="614"/>
      <c r="W60" s="614"/>
      <c r="X60" s="232"/>
      <c r="Y60" s="615"/>
      <c r="Z60" s="575"/>
      <c r="AA60" s="616"/>
      <c r="AB60" s="575"/>
      <c r="AC60" s="613"/>
      <c r="AD60" s="613"/>
    </row>
    <row r="61" spans="1:30" s="224" customFormat="1" ht="13.5" customHeight="1">
      <c r="A61" s="225">
        <v>53</v>
      </c>
      <c r="B61" s="216"/>
      <c r="C61" s="241"/>
      <c r="D61" s="241" t="s">
        <v>2354</v>
      </c>
      <c r="E61" s="241"/>
      <c r="F61" s="241"/>
      <c r="G61" s="241"/>
      <c r="H61" s="575" t="s">
        <v>2355</v>
      </c>
      <c r="I61" s="611" t="s">
        <v>1269</v>
      </c>
      <c r="J61" s="575"/>
      <c r="K61" s="611" t="s">
        <v>2353</v>
      </c>
      <c r="L61" s="575"/>
      <c r="M61" s="575"/>
      <c r="N61" s="575"/>
      <c r="O61" s="575"/>
      <c r="P61" s="612"/>
      <c r="Q61" s="575" t="s">
        <v>820</v>
      </c>
      <c r="R61" s="613"/>
      <c r="S61" s="575" t="s">
        <v>863</v>
      </c>
      <c r="T61" s="613" t="s">
        <v>864</v>
      </c>
      <c r="U61" s="575"/>
      <c r="V61" s="614"/>
      <c r="W61" s="614"/>
      <c r="X61" s="232"/>
      <c r="Y61" s="615"/>
      <c r="Z61" s="575"/>
      <c r="AA61" s="616"/>
      <c r="AB61" s="575"/>
      <c r="AC61" s="613"/>
      <c r="AD61" s="613"/>
    </row>
    <row r="62" spans="1:30" s="224" customFormat="1" ht="13.5" customHeight="1">
      <c r="A62" s="225">
        <v>54</v>
      </c>
      <c r="B62" s="216"/>
      <c r="C62" s="241"/>
      <c r="D62" s="241" t="s">
        <v>2356</v>
      </c>
      <c r="E62" s="241"/>
      <c r="F62" s="241"/>
      <c r="G62" s="241"/>
      <c r="H62" s="575" t="s">
        <v>2357</v>
      </c>
      <c r="I62" s="611"/>
      <c r="J62" s="575"/>
      <c r="K62" s="611" t="s">
        <v>2358</v>
      </c>
      <c r="L62" s="575"/>
      <c r="M62" s="575"/>
      <c r="N62" s="575"/>
      <c r="O62" s="575"/>
      <c r="P62" s="612"/>
      <c r="Q62" s="575" t="s">
        <v>820</v>
      </c>
      <c r="R62" s="613"/>
      <c r="S62" s="575" t="s">
        <v>863</v>
      </c>
      <c r="T62" s="613"/>
      <c r="U62" s="575"/>
      <c r="V62" s="614"/>
      <c r="W62" s="614"/>
      <c r="X62" s="232"/>
      <c r="Y62" s="615"/>
      <c r="Z62" s="575"/>
      <c r="AA62" s="616"/>
      <c r="AB62" s="575"/>
      <c r="AC62" s="613"/>
      <c r="AD62" s="613"/>
    </row>
    <row r="63" spans="1:30" s="224" customFormat="1" ht="13.5" customHeight="1">
      <c r="A63" s="225">
        <v>55</v>
      </c>
      <c r="B63" s="216"/>
      <c r="C63" s="241"/>
      <c r="D63" s="241" t="s">
        <v>2359</v>
      </c>
      <c r="E63" s="241"/>
      <c r="F63" s="241"/>
      <c r="G63" s="241"/>
      <c r="H63" s="575" t="s">
        <v>2360</v>
      </c>
      <c r="I63" s="611"/>
      <c r="J63" s="575"/>
      <c r="K63" s="611" t="s">
        <v>2361</v>
      </c>
      <c r="L63" s="575"/>
      <c r="M63" s="575"/>
      <c r="N63" s="575"/>
      <c r="O63" s="575"/>
      <c r="P63" s="612"/>
      <c r="Q63" s="575" t="s">
        <v>820</v>
      </c>
      <c r="R63" s="613"/>
      <c r="S63" s="575" t="s">
        <v>863</v>
      </c>
      <c r="T63" s="613" t="s">
        <v>864</v>
      </c>
      <c r="U63" s="575"/>
      <c r="V63" s="614"/>
      <c r="W63" s="614"/>
      <c r="X63" s="232"/>
      <c r="Y63" s="615"/>
      <c r="Z63" s="575"/>
      <c r="AA63" s="616"/>
      <c r="AB63" s="575"/>
      <c r="AC63" s="613"/>
      <c r="AD63" s="613"/>
    </row>
    <row r="64" spans="1:30" s="224" customFormat="1" ht="13.5" customHeight="1">
      <c r="A64" s="225">
        <v>56</v>
      </c>
      <c r="B64" s="217"/>
      <c r="C64" s="241"/>
      <c r="D64" s="241" t="s">
        <v>2362</v>
      </c>
      <c r="E64" s="241"/>
      <c r="F64" s="241"/>
      <c r="G64" s="241"/>
      <c r="H64" s="241" t="s">
        <v>2363</v>
      </c>
      <c r="I64" s="611"/>
      <c r="J64" s="575"/>
      <c r="K64" s="611" t="s">
        <v>2364</v>
      </c>
      <c r="L64" s="575"/>
      <c r="M64" s="575"/>
      <c r="N64" s="575"/>
      <c r="O64" s="575"/>
      <c r="P64" s="612"/>
      <c r="Q64" s="575" t="s">
        <v>820</v>
      </c>
      <c r="R64" s="613"/>
      <c r="S64" s="575" t="s">
        <v>863</v>
      </c>
      <c r="T64" s="613"/>
      <c r="U64" s="575"/>
      <c r="V64" s="614"/>
      <c r="W64" s="614"/>
      <c r="X64" s="232"/>
      <c r="Y64" s="615"/>
      <c r="Z64" s="575"/>
      <c r="AA64" s="616"/>
      <c r="AB64" s="575"/>
      <c r="AC64" s="613"/>
      <c r="AD64" s="613"/>
    </row>
    <row r="65" spans="1:1017" s="224" customFormat="1" ht="13.5" customHeight="1">
      <c r="A65" s="225">
        <v>57</v>
      </c>
      <c r="B65" s="217"/>
      <c r="C65" s="241"/>
      <c r="D65" s="241" t="s">
        <v>2365</v>
      </c>
      <c r="E65" s="241"/>
      <c r="F65" s="241"/>
      <c r="G65" s="241"/>
      <c r="H65" s="241" t="s">
        <v>2366</v>
      </c>
      <c r="I65" s="611"/>
      <c r="J65" s="575"/>
      <c r="K65" s="611"/>
      <c r="L65" s="575"/>
      <c r="M65" s="575"/>
      <c r="N65" s="575"/>
      <c r="O65" s="575"/>
      <c r="P65" s="612"/>
      <c r="Q65" s="575" t="s">
        <v>820</v>
      </c>
      <c r="R65" s="613"/>
      <c r="S65" s="575" t="s">
        <v>863</v>
      </c>
      <c r="T65" s="613"/>
      <c r="U65" s="575"/>
      <c r="V65" s="614"/>
      <c r="W65" s="614"/>
      <c r="X65" s="232"/>
      <c r="Y65" s="615"/>
      <c r="Z65" s="575"/>
      <c r="AA65" s="616"/>
      <c r="AB65" s="575"/>
      <c r="AC65" s="613"/>
      <c r="AD65" s="613"/>
    </row>
    <row r="66" spans="1:1017" s="224" customFormat="1" ht="13.5" customHeight="1">
      <c r="A66" s="225">
        <v>58</v>
      </c>
      <c r="B66" s="217"/>
      <c r="C66" s="241"/>
      <c r="D66" s="241" t="s">
        <v>2367</v>
      </c>
      <c r="E66" s="241"/>
      <c r="F66" s="241"/>
      <c r="G66" s="241"/>
      <c r="H66" s="241" t="s">
        <v>2368</v>
      </c>
      <c r="I66" s="611"/>
      <c r="J66" s="575"/>
      <c r="K66" s="611" t="s">
        <v>871</v>
      </c>
      <c r="L66" s="575"/>
      <c r="M66" s="575"/>
      <c r="N66" s="575"/>
      <c r="O66" s="575"/>
      <c r="P66" s="612"/>
      <c r="Q66" s="575" t="s">
        <v>820</v>
      </c>
      <c r="R66" s="613"/>
      <c r="S66" s="575" t="s">
        <v>863</v>
      </c>
      <c r="T66" s="613"/>
      <c r="U66" s="575"/>
      <c r="V66" s="614"/>
      <c r="W66" s="614"/>
      <c r="X66" s="232"/>
      <c r="Y66" s="615"/>
      <c r="Z66" s="575"/>
      <c r="AA66" s="616"/>
      <c r="AB66" s="575"/>
      <c r="AC66" s="613"/>
      <c r="AD66" s="613"/>
    </row>
    <row r="67" spans="1:1017" s="224" customFormat="1" ht="13.5" customHeight="1">
      <c r="A67" s="225">
        <v>59</v>
      </c>
      <c r="B67" s="217"/>
      <c r="C67" s="217" t="s">
        <v>2369</v>
      </c>
      <c r="D67" s="632"/>
      <c r="E67" s="533"/>
      <c r="F67" s="533"/>
      <c r="G67" s="533"/>
      <c r="H67" s="630"/>
      <c r="I67" s="631"/>
      <c r="J67" s="575"/>
      <c r="K67" s="611" t="s">
        <v>1536</v>
      </c>
      <c r="L67" s="575"/>
      <c r="M67" s="575"/>
      <c r="N67" s="575"/>
      <c r="O67" s="575"/>
      <c r="P67" s="612"/>
      <c r="Q67" s="575" t="s">
        <v>817</v>
      </c>
      <c r="R67" s="613" t="s">
        <v>864</v>
      </c>
      <c r="S67" s="243" t="s">
        <v>1536</v>
      </c>
      <c r="T67" s="613"/>
      <c r="U67" s="575"/>
      <c r="V67" s="614"/>
      <c r="W67" s="614"/>
      <c r="X67" s="232"/>
      <c r="Y67" s="615"/>
      <c r="Z67" s="575"/>
      <c r="AA67" s="616"/>
      <c r="AB67" s="575"/>
      <c r="AC67" s="613"/>
      <c r="AD67" s="613"/>
    </row>
    <row r="68" spans="1:1017" s="224" customFormat="1" ht="13.5" customHeight="1">
      <c r="A68" s="225">
        <v>60</v>
      </c>
      <c r="B68" s="217"/>
      <c r="C68" s="217"/>
      <c r="D68" s="610" t="s">
        <v>2370</v>
      </c>
      <c r="E68" s="241"/>
      <c r="F68" s="241"/>
      <c r="G68" s="241"/>
      <c r="H68" s="575" t="s">
        <v>2371</v>
      </c>
      <c r="I68" s="611" t="s">
        <v>2372</v>
      </c>
      <c r="J68" s="575"/>
      <c r="K68" s="611" t="s">
        <v>2199</v>
      </c>
      <c r="L68" s="575"/>
      <c r="M68" s="575"/>
      <c r="N68" s="575"/>
      <c r="O68" s="575"/>
      <c r="P68" s="612"/>
      <c r="Q68" s="575" t="s">
        <v>820</v>
      </c>
      <c r="R68" s="613"/>
      <c r="S68" s="575" t="s">
        <v>863</v>
      </c>
      <c r="T68" s="613" t="s">
        <v>864</v>
      </c>
      <c r="U68" s="575"/>
      <c r="V68" s="614"/>
      <c r="W68" s="614"/>
      <c r="X68" s="232"/>
      <c r="Y68" s="615"/>
      <c r="Z68" s="575"/>
      <c r="AA68" s="616"/>
      <c r="AB68" s="575"/>
      <c r="AC68" s="613"/>
      <c r="AD68" s="613"/>
    </row>
    <row r="69" spans="1:1017" s="224" customFormat="1" ht="13.5" customHeight="1">
      <c r="A69" s="225">
        <v>61</v>
      </c>
      <c r="B69" s="217"/>
      <c r="C69" s="217"/>
      <c r="D69" s="610" t="s">
        <v>2373</v>
      </c>
      <c r="E69" s="241"/>
      <c r="F69" s="241"/>
      <c r="G69" s="241"/>
      <c r="H69" s="575" t="s">
        <v>2374</v>
      </c>
      <c r="I69" s="611" t="s">
        <v>2375</v>
      </c>
      <c r="J69" s="575"/>
      <c r="K69" s="611" t="s">
        <v>2201</v>
      </c>
      <c r="L69" s="575"/>
      <c r="M69" s="575"/>
      <c r="N69" s="575"/>
      <c r="O69" s="575"/>
      <c r="P69" s="612"/>
      <c r="Q69" s="575" t="s">
        <v>820</v>
      </c>
      <c r="R69" s="613"/>
      <c r="S69" s="575" t="s">
        <v>863</v>
      </c>
      <c r="T69" s="613" t="s">
        <v>864</v>
      </c>
      <c r="U69" s="575"/>
      <c r="V69" s="614"/>
      <c r="W69" s="614"/>
      <c r="X69" s="232"/>
      <c r="Y69" s="615"/>
      <c r="Z69" s="575"/>
      <c r="AA69" s="616"/>
      <c r="AB69" s="575"/>
      <c r="AC69" s="613"/>
      <c r="AD69" s="613"/>
    </row>
    <row r="70" spans="1:1017" s="224" customFormat="1" ht="13.5" customHeight="1">
      <c r="A70" s="225">
        <v>62</v>
      </c>
      <c r="B70" s="217"/>
      <c r="C70" s="217"/>
      <c r="D70" s="610" t="s">
        <v>2376</v>
      </c>
      <c r="E70" s="241"/>
      <c r="F70" s="241"/>
      <c r="G70" s="241"/>
      <c r="H70" s="269" t="s">
        <v>2377</v>
      </c>
      <c r="I70" s="611" t="s">
        <v>2291</v>
      </c>
      <c r="J70" s="575"/>
      <c r="K70" s="611" t="s">
        <v>1566</v>
      </c>
      <c r="L70" s="575"/>
      <c r="M70" s="575"/>
      <c r="N70" s="575"/>
      <c r="O70" s="575"/>
      <c r="P70" s="612"/>
      <c r="Q70" s="575" t="s">
        <v>820</v>
      </c>
      <c r="R70" s="613"/>
      <c r="S70" s="575" t="s">
        <v>863</v>
      </c>
      <c r="T70" s="613" t="s">
        <v>864</v>
      </c>
      <c r="U70" s="575"/>
      <c r="V70" s="614"/>
      <c r="W70" s="614"/>
      <c r="X70" s="232"/>
      <c r="Y70" s="615"/>
      <c r="Z70" s="575"/>
      <c r="AA70" s="616"/>
      <c r="AB70" s="575"/>
      <c r="AC70" s="613"/>
      <c r="AD70" s="613"/>
    </row>
    <row r="71" spans="1:1017" s="224" customFormat="1" ht="13.5" customHeight="1">
      <c r="A71" s="225">
        <v>63</v>
      </c>
      <c r="B71" s="217"/>
      <c r="C71" s="217"/>
      <c r="D71" s="610" t="s">
        <v>2378</v>
      </c>
      <c r="E71" s="241"/>
      <c r="F71" s="241"/>
      <c r="G71" s="241"/>
      <c r="H71" s="610" t="s">
        <v>2379</v>
      </c>
      <c r="I71" s="611"/>
      <c r="J71" s="575"/>
      <c r="K71" s="611" t="s">
        <v>2380</v>
      </c>
      <c r="L71" s="575"/>
      <c r="M71" s="575"/>
      <c r="N71" s="575"/>
      <c r="O71" s="575"/>
      <c r="P71" s="612"/>
      <c r="Q71" s="575" t="s">
        <v>820</v>
      </c>
      <c r="R71" s="613"/>
      <c r="S71" s="575" t="s">
        <v>863</v>
      </c>
      <c r="T71" s="613"/>
      <c r="U71" s="575"/>
      <c r="V71" s="614"/>
      <c r="W71" s="614"/>
      <c r="X71" s="232"/>
      <c r="Y71" s="615"/>
      <c r="Z71" s="575"/>
      <c r="AA71" s="616"/>
      <c r="AB71" s="575"/>
      <c r="AC71" s="613"/>
      <c r="AD71" s="613"/>
    </row>
    <row r="72" spans="1:1017" s="224" customFormat="1" ht="13.5" customHeight="1">
      <c r="A72" s="225">
        <v>64</v>
      </c>
      <c r="B72" s="217"/>
      <c r="C72" s="217"/>
      <c r="D72" s="610" t="s">
        <v>2381</v>
      </c>
      <c r="E72" s="241"/>
      <c r="F72" s="241"/>
      <c r="G72" s="241"/>
      <c r="H72" s="610" t="s">
        <v>2382</v>
      </c>
      <c r="I72" s="611"/>
      <c r="J72" s="575"/>
      <c r="K72" s="611" t="s">
        <v>2308</v>
      </c>
      <c r="L72" s="575"/>
      <c r="M72" s="575"/>
      <c r="N72" s="575"/>
      <c r="O72" s="575"/>
      <c r="P72" s="612"/>
      <c r="Q72" s="575" t="s">
        <v>820</v>
      </c>
      <c r="R72" s="613"/>
      <c r="S72" s="575" t="s">
        <v>863</v>
      </c>
      <c r="T72" s="613"/>
      <c r="U72" s="575"/>
      <c r="V72" s="614"/>
      <c r="W72" s="614"/>
      <c r="X72" s="232"/>
      <c r="Y72" s="615"/>
      <c r="Z72" s="575"/>
      <c r="AA72" s="616"/>
      <c r="AB72" s="575"/>
      <c r="AC72" s="613"/>
      <c r="AD72" s="613"/>
    </row>
    <row r="73" spans="1:1017" s="224" customFormat="1" ht="13.5" customHeight="1">
      <c r="A73" s="225">
        <v>65</v>
      </c>
      <c r="B73" s="217"/>
      <c r="C73" s="217"/>
      <c r="D73" s="241" t="s">
        <v>2383</v>
      </c>
      <c r="E73" s="241"/>
      <c r="F73" s="241"/>
      <c r="G73" s="241"/>
      <c r="H73" s="575" t="s">
        <v>2384</v>
      </c>
      <c r="I73" s="611"/>
      <c r="J73" s="575"/>
      <c r="K73" s="611"/>
      <c r="L73" s="575"/>
      <c r="M73" s="575"/>
      <c r="N73" s="575"/>
      <c r="O73" s="575"/>
      <c r="P73" s="612"/>
      <c r="Q73" s="575" t="s">
        <v>820</v>
      </c>
      <c r="R73" s="613"/>
      <c r="S73" s="575" t="s">
        <v>863</v>
      </c>
      <c r="T73" s="613"/>
      <c r="U73" s="575"/>
      <c r="V73" s="614"/>
      <c r="W73" s="614"/>
      <c r="X73" s="232"/>
      <c r="Y73" s="615"/>
      <c r="Z73" s="575"/>
      <c r="AA73" s="616"/>
      <c r="AB73" s="575"/>
      <c r="AC73" s="613"/>
      <c r="AD73" s="613"/>
    </row>
    <row r="74" spans="1:1017" s="224" customFormat="1" ht="12" customHeight="1">
      <c r="A74" s="225">
        <f>SUBTOTAL(103,createCase2912[ID])</f>
        <v>65</v>
      </c>
      <c r="C74" s="225">
        <f>SUBTOTAL(103,createCase2912[Donnée (Niveau 2)])</f>
        <v>23</v>
      </c>
      <c r="D74" s="225">
        <f>SUBTOTAL(103,createCase2912[Donnée (Niveau 3)])</f>
        <v>35</v>
      </c>
      <c r="E74" s="225">
        <f>SUBTOTAL(103,createCase2912[Donnée (Niveau 4)])</f>
        <v>2</v>
      </c>
      <c r="F74" s="225">
        <f>SUBTOTAL(103,createCase2912[Donnée (Niveau 5)])</f>
        <v>0</v>
      </c>
      <c r="G74" s="225">
        <f>SUBTOTAL(103,createCase2912[Donnée (Niveau 6)])</f>
        <v>0</v>
      </c>
      <c r="H74" s="225">
        <f>SUBTOTAL(103,createCase2912[Description])</f>
        <v>50</v>
      </c>
      <c r="I74" s="225">
        <f>SUBTOTAL(103,createCase2912[Exemples])</f>
        <v>37</v>
      </c>
      <c r="J74" s="225">
        <f>SUBTOTAL(103,createCase2912[Balise NexSIS])</f>
        <v>0</v>
      </c>
      <c r="K74" s="239">
        <f>SUBTOTAL(103,createCase2912[Nouvelle balise])</f>
        <v>61</v>
      </c>
      <c r="L74" s="225">
        <f>SUBTOTAL(103,createCase2912[Nantes - balise])</f>
        <v>0</v>
      </c>
      <c r="M74" s="225">
        <f>SUBTOTAL(103,createCase2912[Nantes - description])</f>
        <v>0</v>
      </c>
      <c r="N74" s="225">
        <f>SUBTOTAL(103,createCase2912[GT399])</f>
        <v>0</v>
      </c>
      <c r="O74" s="225">
        <f>SUBTOTAL(103,createCase2912[GT399 description])</f>
        <v>0</v>
      </c>
      <c r="P74" s="234">
        <f>SUBTOTAL(103,createCase2912[Priorisation])</f>
        <v>0</v>
      </c>
      <c r="Q74" s="225"/>
      <c r="R74" s="274">
        <f>SUBTOTAL(103,createCase2912[Objet])</f>
        <v>15</v>
      </c>
      <c r="S74" s="225">
        <f>SUBTOTAL(103,createCase2912[Format (ou type)])</f>
        <v>65</v>
      </c>
      <c r="T74" s="274"/>
      <c r="U74" s="225"/>
      <c r="V74" s="225"/>
      <c r="W74" s="225"/>
      <c r="Y74" s="271">
        <f>SUBTOTAL(103,createCase2912[Commentaire Hub Santé])</f>
        <v>0</v>
      </c>
      <c r="Z74" s="225">
        <f>SUBTOTAL(103,createCase2912[Commentaire Philippe Dreyfus])</f>
        <v>0</v>
      </c>
      <c r="AA74" s="239"/>
      <c r="AB74" s="225">
        <f>SUBTOTAL(103,createCase2912[Commentaire Yann Penverne])</f>
        <v>0</v>
      </c>
      <c r="AC74" s="225">
        <f>SUBTOTAL(103,createCase2912[NexSIS])-COUNTIFS(createCase2912[NexSIS],"=X")</f>
        <v>0</v>
      </c>
      <c r="AD74" s="225">
        <f>SUBTOTAL(103,createCase2912[Métier])-COUNTIFS(createCase2912[Métier],"=X")</f>
        <v>0</v>
      </c>
    </row>
    <row r="75" spans="1:1017" s="128" customFormat="1" ht="12" customHeight="1">
      <c r="A75" s="3"/>
      <c r="B75" s="3"/>
      <c r="C75" s="131"/>
      <c r="D75" s="131"/>
      <c r="E75" s="131"/>
      <c r="F75" s="131"/>
      <c r="G75" s="5"/>
      <c r="H75" s="155"/>
      <c r="I75" s="225"/>
      <c r="J75" s="5"/>
      <c r="K75" s="155"/>
      <c r="L75" s="5"/>
      <c r="M75" s="5"/>
      <c r="N75" s="5"/>
      <c r="O75" s="5"/>
      <c r="P75" s="188"/>
      <c r="Q75" s="5"/>
      <c r="R75" s="56"/>
      <c r="S75" s="5"/>
      <c r="T75" s="56"/>
      <c r="U75" s="56"/>
      <c r="V75" s="56"/>
      <c r="W75" s="56"/>
      <c r="X75"/>
      <c r="Y75" s="178"/>
      <c r="Z75" s="5"/>
      <c r="AA75" s="159"/>
      <c r="AB75" s="56"/>
      <c r="AD75" s="56"/>
      <c r="AMA75"/>
      <c r="AMB75"/>
      <c r="AMC75"/>
    </row>
    <row r="76" spans="1:1017" s="128" customFormat="1" ht="12" customHeight="1">
      <c r="A76" s="129"/>
      <c r="B76" s="129"/>
      <c r="C76" s="129"/>
      <c r="D76" s="129"/>
      <c r="E76" s="129"/>
      <c r="F76" s="129"/>
      <c r="G76" s="96"/>
      <c r="H76" s="96"/>
      <c r="I76" s="225"/>
      <c r="J76" s="96"/>
      <c r="K76" s="159"/>
      <c r="L76" s="96"/>
      <c r="M76" s="96"/>
      <c r="N76" s="96"/>
      <c r="O76" s="96"/>
      <c r="P76" s="173"/>
      <c r="Q76" s="96"/>
      <c r="R76" s="278"/>
      <c r="S76" s="96"/>
      <c r="T76" s="278"/>
      <c r="U76" s="96"/>
      <c r="V76" s="96"/>
      <c r="W76" s="96"/>
      <c r="X76"/>
      <c r="Y76" s="179"/>
      <c r="Z76" s="96"/>
      <c r="AA76" s="159"/>
      <c r="AB76" s="96"/>
      <c r="AD76" s="96"/>
      <c r="AMA76"/>
      <c r="AMB76"/>
      <c r="AMC76"/>
    </row>
    <row r="77" spans="1:1017" s="128" customFormat="1" ht="12" customHeight="1">
      <c r="I77" s="224"/>
      <c r="P77" s="174"/>
      <c r="R77" s="278"/>
      <c r="S77" s="96"/>
      <c r="T77" s="278"/>
      <c r="U77" s="96"/>
      <c r="V77" s="96"/>
      <c r="W77" s="96"/>
      <c r="X77"/>
      <c r="Y77" s="179"/>
      <c r="Z77" s="96"/>
      <c r="AA77" s="159"/>
      <c r="AB77" s="96"/>
      <c r="AD77" s="96"/>
      <c r="AMA77"/>
      <c r="AMB77"/>
      <c r="AMC77"/>
    </row>
    <row r="78" spans="1:1017" s="128" customFormat="1" ht="12" customHeight="1">
      <c r="I78" s="224"/>
      <c r="P78" s="174"/>
      <c r="R78" s="278"/>
      <c r="S78" s="96"/>
      <c r="T78" s="278"/>
      <c r="U78" s="96"/>
      <c r="V78" s="96"/>
      <c r="W78" s="96"/>
      <c r="X78"/>
      <c r="Y78" s="179"/>
      <c r="Z78" s="96"/>
      <c r="AA78" s="159"/>
      <c r="AB78" s="96"/>
      <c r="AD78" s="96"/>
      <c r="AMA78"/>
      <c r="AMB78"/>
      <c r="AMC78"/>
    </row>
    <row r="79" spans="1:1017" s="128" customFormat="1" ht="12" customHeight="1">
      <c r="I79" s="224"/>
      <c r="P79" s="174"/>
      <c r="R79" s="278"/>
      <c r="S79" s="96"/>
      <c r="T79" s="278"/>
      <c r="U79" s="96"/>
      <c r="V79" s="96"/>
      <c r="W79" s="96"/>
      <c r="X79"/>
      <c r="Y79" s="179"/>
      <c r="Z79" s="96"/>
      <c r="AA79" s="159"/>
      <c r="AB79" s="96"/>
      <c r="AD79" s="96"/>
      <c r="AMA79"/>
      <c r="AMB79"/>
      <c r="AMC79"/>
    </row>
    <row r="80" spans="1:1017" s="128" customFormat="1" ht="12" customHeight="1">
      <c r="I80" s="224"/>
      <c r="P80" s="174"/>
      <c r="R80" s="278"/>
      <c r="S80" s="96"/>
      <c r="T80" s="278"/>
      <c r="U80" s="96"/>
      <c r="V80" s="96"/>
      <c r="W80" s="96"/>
      <c r="X80"/>
      <c r="Y80" s="179"/>
      <c r="Z80" s="96"/>
      <c r="AA80" s="159"/>
      <c r="AB80" s="96"/>
      <c r="AD80" s="96"/>
      <c r="AMA80"/>
      <c r="AMB80"/>
      <c r="AMC80"/>
    </row>
    <row r="81" spans="1:1016" ht="12" customHeight="1">
      <c r="G81" s="128"/>
      <c r="H81" s="128"/>
      <c r="I81" s="224"/>
      <c r="J81" s="128"/>
      <c r="K81" s="128"/>
      <c r="L81" s="128"/>
      <c r="M81" s="128"/>
      <c r="N81" s="128"/>
      <c r="O81" s="128"/>
      <c r="P81" s="174"/>
      <c r="Q81" s="128"/>
    </row>
    <row r="82" spans="1:1016" s="117" customFormat="1" ht="12" customHeight="1">
      <c r="A82" s="128"/>
      <c r="B82" s="128"/>
      <c r="C82" s="128"/>
      <c r="D82" s="128"/>
      <c r="E82" s="128"/>
      <c r="F82" s="128"/>
      <c r="G82" s="96"/>
      <c r="H82" s="96"/>
      <c r="I82" s="225"/>
      <c r="J82" s="96"/>
      <c r="K82" s="159"/>
      <c r="L82" s="96"/>
      <c r="M82" s="96"/>
      <c r="N82" s="96"/>
      <c r="O82" s="96"/>
      <c r="P82" s="173"/>
      <c r="Q82" s="96"/>
      <c r="R82" s="278"/>
      <c r="S82" s="96"/>
      <c r="T82" s="278"/>
      <c r="U82" s="96"/>
      <c r="V82" s="96"/>
      <c r="W82" s="96"/>
      <c r="X82"/>
      <c r="Y82" s="179"/>
      <c r="Z82" s="96"/>
      <c r="AA82" s="161"/>
      <c r="AB82" s="96"/>
      <c r="AD82" s="96"/>
      <c r="AMB82"/>
    </row>
    <row r="83" spans="1:1016" ht="12" customHeight="1">
      <c r="A83" s="117"/>
      <c r="B83" s="117"/>
      <c r="C83" s="117"/>
      <c r="D83" s="117"/>
      <c r="E83" s="117"/>
      <c r="F83" s="117"/>
      <c r="G83" s="117"/>
      <c r="H83" s="117"/>
      <c r="I83" s="251"/>
      <c r="J83" s="117"/>
      <c r="K83" s="117"/>
      <c r="L83" s="117"/>
      <c r="M83" s="117"/>
      <c r="N83" s="117"/>
      <c r="O83" s="117"/>
      <c r="P83" s="189"/>
      <c r="Q83" s="117"/>
    </row>
    <row r="84" spans="1:1016" ht="12" customHeight="1">
      <c r="R84" s="125"/>
      <c r="S84" s="112"/>
      <c r="T84" s="125"/>
      <c r="U84" s="112"/>
      <c r="V84" s="112"/>
      <c r="W84" s="112"/>
      <c r="Y84" s="180"/>
      <c r="Z84" s="112"/>
      <c r="AB84" s="112"/>
      <c r="AD84" s="112"/>
    </row>
    <row r="96" spans="1:1016" ht="12" customHeight="1">
      <c r="A96" s="130"/>
      <c r="B96" s="130"/>
      <c r="C96" s="130"/>
      <c r="D96" s="130"/>
      <c r="E96" s="130"/>
      <c r="F96" s="130"/>
    </row>
    <row r="97" spans="1:1016" ht="12" customHeight="1">
      <c r="A97" s="130"/>
      <c r="B97" s="130"/>
      <c r="C97" s="130"/>
      <c r="D97" s="130"/>
      <c r="E97" s="130"/>
      <c r="F97" s="130"/>
    </row>
    <row r="98" spans="1:1016" ht="12" customHeight="1">
      <c r="A98" s="130"/>
      <c r="B98" s="130"/>
      <c r="C98" s="130"/>
      <c r="D98" s="130"/>
      <c r="E98" s="130"/>
      <c r="F98" s="130"/>
    </row>
    <row r="99" spans="1:1016" ht="12" customHeight="1">
      <c r="A99" s="130"/>
      <c r="B99" s="130"/>
      <c r="C99" s="130"/>
      <c r="D99" s="130"/>
      <c r="E99" s="130"/>
      <c r="F99" s="130"/>
    </row>
    <row r="100" spans="1:1016" ht="12" customHeight="1">
      <c r="A100" s="130"/>
      <c r="B100" s="130"/>
      <c r="C100" s="130"/>
      <c r="D100" s="130"/>
      <c r="E100" s="130"/>
      <c r="F100" s="130"/>
    </row>
    <row r="101" spans="1:1016" ht="12" customHeight="1">
      <c r="A101" s="130"/>
      <c r="B101" s="130"/>
      <c r="C101" s="130"/>
      <c r="D101" s="130"/>
      <c r="E101" s="130"/>
      <c r="F101" s="130"/>
    </row>
    <row r="102" spans="1:1016" ht="12" customHeight="1">
      <c r="A102" s="130"/>
      <c r="B102" s="130"/>
      <c r="C102" s="130"/>
      <c r="D102" s="130"/>
      <c r="E102" s="130"/>
      <c r="F102" s="130"/>
    </row>
    <row r="103" spans="1:1016" ht="12" customHeight="1">
      <c r="A103" s="130"/>
      <c r="B103" s="130"/>
      <c r="C103" s="130"/>
      <c r="D103" s="130"/>
      <c r="E103" s="130"/>
      <c r="F103" s="130"/>
    </row>
    <row r="104" spans="1:1016" ht="12" customHeight="1">
      <c r="A104" s="129"/>
      <c r="B104" s="129"/>
      <c r="C104" s="129"/>
      <c r="D104" s="129"/>
      <c r="E104" s="129"/>
      <c r="F104" s="129"/>
    </row>
    <row r="105" spans="1:1016" ht="12" customHeight="1">
      <c r="A105" s="129"/>
      <c r="B105" s="129"/>
      <c r="C105" s="129"/>
      <c r="D105" s="129"/>
      <c r="E105" s="129"/>
      <c r="F105" s="129"/>
    </row>
    <row r="106" spans="1:1016" ht="12" customHeight="1">
      <c r="A106" s="129"/>
      <c r="B106" s="129"/>
      <c r="C106" s="129"/>
      <c r="D106" s="129"/>
      <c r="E106" s="129"/>
      <c r="F106" s="129"/>
    </row>
    <row r="107" spans="1:1016" ht="12" customHeight="1">
      <c r="A107" s="129"/>
      <c r="B107" s="129"/>
      <c r="C107" s="129"/>
      <c r="D107" s="129"/>
      <c r="E107" s="129"/>
      <c r="F107" s="129"/>
    </row>
    <row r="108" spans="1:1016" ht="12" customHeight="1">
      <c r="A108" s="129"/>
      <c r="B108" s="129"/>
      <c r="C108" s="129"/>
      <c r="D108" s="129"/>
      <c r="E108" s="129"/>
      <c r="F108" s="129"/>
    </row>
    <row r="109" spans="1:1016" ht="12" customHeight="1">
      <c r="A109" s="129"/>
      <c r="B109" s="129"/>
      <c r="C109" s="129"/>
      <c r="D109" s="129"/>
      <c r="E109" s="129"/>
      <c r="F109" s="129"/>
    </row>
    <row r="110" spans="1:1016" ht="12" customHeight="1">
      <c r="A110" s="129"/>
      <c r="B110" s="129"/>
      <c r="C110" s="129"/>
      <c r="D110" s="129"/>
      <c r="E110" s="129"/>
      <c r="F110" s="129"/>
    </row>
    <row r="111" spans="1:1016" s="117" customFormat="1" ht="12" customHeight="1">
      <c r="A111" s="129"/>
      <c r="B111" s="129"/>
      <c r="C111" s="129"/>
      <c r="D111" s="129"/>
      <c r="E111" s="129"/>
      <c r="F111" s="129"/>
      <c r="G111" s="96"/>
      <c r="H111" s="96"/>
      <c r="I111" s="225"/>
      <c r="J111" s="96"/>
      <c r="K111" s="159"/>
      <c r="L111" s="96"/>
      <c r="M111" s="96"/>
      <c r="N111" s="96"/>
      <c r="O111" s="96"/>
      <c r="P111" s="173"/>
      <c r="Q111" s="96"/>
      <c r="R111" s="278"/>
      <c r="S111" s="96"/>
      <c r="T111" s="278"/>
      <c r="U111" s="96"/>
      <c r="V111" s="96"/>
      <c r="W111" s="96"/>
      <c r="X111"/>
      <c r="Y111" s="179"/>
      <c r="Z111" s="96"/>
      <c r="AA111" s="161"/>
      <c r="AB111" s="96"/>
      <c r="AD111" s="96"/>
      <c r="AMB111"/>
    </row>
    <row r="112" spans="1:1016" s="117" customFormat="1" ht="12" customHeight="1">
      <c r="A112" s="130"/>
      <c r="B112" s="130"/>
      <c r="C112" s="130"/>
      <c r="D112" s="130"/>
      <c r="E112" s="130"/>
      <c r="F112" s="130"/>
      <c r="G112" s="96"/>
      <c r="H112" s="96"/>
      <c r="I112" s="225"/>
      <c r="J112" s="96"/>
      <c r="K112" s="159"/>
      <c r="L112" s="96"/>
      <c r="M112" s="96"/>
      <c r="N112" s="96"/>
      <c r="O112" s="96"/>
      <c r="P112" s="173"/>
      <c r="Q112" s="96"/>
      <c r="R112" s="278"/>
      <c r="S112" s="96"/>
      <c r="T112" s="278"/>
      <c r="U112" s="96"/>
      <c r="V112" s="96"/>
      <c r="W112" s="96"/>
      <c r="X112"/>
      <c r="Y112" s="179"/>
      <c r="Z112" s="96"/>
      <c r="AA112" s="161"/>
      <c r="AB112" s="96"/>
      <c r="AD112" s="96"/>
      <c r="AMB112"/>
    </row>
    <row r="113" spans="1:1016" s="117" customFormat="1" ht="12" customHeight="1">
      <c r="A113" s="123"/>
      <c r="B113" s="123"/>
      <c r="C113" s="123"/>
      <c r="D113" s="123"/>
      <c r="E113" s="123"/>
      <c r="F113" s="123"/>
      <c r="G113" s="112"/>
      <c r="H113" s="112"/>
      <c r="I113" s="277"/>
      <c r="J113" s="112"/>
      <c r="K113" s="161"/>
      <c r="L113" s="112"/>
      <c r="M113" s="112"/>
      <c r="N113" s="112"/>
      <c r="O113" s="112"/>
      <c r="P113" s="190"/>
      <c r="Q113" s="112"/>
      <c r="R113" s="125"/>
      <c r="S113" s="112"/>
      <c r="T113" s="125"/>
      <c r="U113" s="112"/>
      <c r="V113" s="112"/>
      <c r="W113" s="112"/>
      <c r="X113"/>
      <c r="Y113" s="180"/>
      <c r="Z113" s="112"/>
      <c r="AA113" s="161"/>
      <c r="AB113" s="112"/>
      <c r="AD113" s="112"/>
      <c r="AMB113"/>
    </row>
    <row r="114" spans="1:1016" s="117" customFormat="1" ht="12" customHeight="1">
      <c r="A114" s="123"/>
      <c r="B114" s="123"/>
      <c r="C114" s="123"/>
      <c r="D114" s="123"/>
      <c r="E114" s="123"/>
      <c r="F114" s="123"/>
      <c r="G114" s="112"/>
      <c r="H114" s="112"/>
      <c r="I114" s="277"/>
      <c r="J114" s="112"/>
      <c r="K114" s="161"/>
      <c r="L114" s="112"/>
      <c r="M114" s="112"/>
      <c r="N114" s="112"/>
      <c r="O114" s="112"/>
      <c r="P114" s="190"/>
      <c r="Q114" s="112"/>
      <c r="R114" s="125"/>
      <c r="S114" s="112"/>
      <c r="T114" s="125"/>
      <c r="U114" s="112"/>
      <c r="V114" s="112"/>
      <c r="W114" s="112"/>
      <c r="X114"/>
      <c r="Y114" s="180"/>
      <c r="Z114" s="112"/>
      <c r="AA114" s="161"/>
      <c r="AB114" s="112"/>
      <c r="AD114" s="112"/>
      <c r="AMB114"/>
    </row>
    <row r="115" spans="1:1016" s="117" customFormat="1" ht="12" customHeight="1">
      <c r="A115" s="123"/>
      <c r="B115" s="123"/>
      <c r="C115" s="123"/>
      <c r="D115" s="123"/>
      <c r="E115" s="123"/>
      <c r="F115" s="123"/>
      <c r="G115" s="112"/>
      <c r="H115" s="112"/>
      <c r="I115" s="277"/>
      <c r="J115" s="112"/>
      <c r="K115" s="161"/>
      <c r="L115" s="112"/>
      <c r="M115" s="112"/>
      <c r="N115" s="112"/>
      <c r="O115" s="112"/>
      <c r="P115" s="190"/>
      <c r="Q115" s="112"/>
      <c r="R115" s="125"/>
      <c r="S115" s="112"/>
      <c r="T115" s="125"/>
      <c r="U115" s="112"/>
      <c r="V115" s="112"/>
      <c r="W115" s="112"/>
      <c r="X115"/>
      <c r="Y115" s="180"/>
      <c r="Z115" s="112"/>
      <c r="AA115" s="161"/>
      <c r="AB115" s="112"/>
      <c r="AD115" s="112"/>
      <c r="AMB115"/>
    </row>
    <row r="116" spans="1:1016" s="117" customFormat="1" ht="12" customHeight="1">
      <c r="A116" s="123"/>
      <c r="B116" s="123"/>
      <c r="C116" s="123"/>
      <c r="D116" s="123"/>
      <c r="E116" s="123"/>
      <c r="F116" s="123"/>
      <c r="G116" s="112"/>
      <c r="H116" s="112"/>
      <c r="I116" s="277"/>
      <c r="J116" s="112"/>
      <c r="K116" s="161"/>
      <c r="L116" s="112"/>
      <c r="M116" s="112"/>
      <c r="N116" s="112"/>
      <c r="O116" s="112"/>
      <c r="P116" s="190"/>
      <c r="Q116" s="112"/>
      <c r="R116" s="125"/>
      <c r="S116" s="112"/>
      <c r="T116" s="125"/>
      <c r="U116" s="112"/>
      <c r="V116" s="112"/>
      <c r="W116" s="112"/>
      <c r="X116"/>
      <c r="Y116" s="180"/>
      <c r="Z116" s="112"/>
      <c r="AA116" s="161"/>
      <c r="AB116" s="112"/>
      <c r="AD116" s="112"/>
      <c r="AMB116"/>
    </row>
    <row r="117" spans="1:1016" s="117" customFormat="1" ht="12" customHeight="1">
      <c r="A117" s="123"/>
      <c r="B117" s="123"/>
      <c r="C117" s="123"/>
      <c r="D117" s="123"/>
      <c r="E117" s="123"/>
      <c r="F117" s="123"/>
      <c r="G117" s="112"/>
      <c r="H117" s="112"/>
      <c r="I117" s="277"/>
      <c r="J117" s="112"/>
      <c r="K117" s="161"/>
      <c r="L117" s="112"/>
      <c r="M117" s="112"/>
      <c r="N117" s="112"/>
      <c r="O117" s="112"/>
      <c r="P117" s="190"/>
      <c r="Q117" s="112"/>
      <c r="R117" s="125"/>
      <c r="S117" s="112"/>
      <c r="T117" s="125"/>
      <c r="U117" s="112"/>
      <c r="V117" s="112"/>
      <c r="W117" s="112"/>
      <c r="X117"/>
      <c r="Y117" s="180"/>
      <c r="Z117" s="112"/>
      <c r="AA117" s="161"/>
      <c r="AB117" s="112"/>
      <c r="AD117" s="112"/>
      <c r="AMB117"/>
    </row>
    <row r="118" spans="1:1016" ht="12" customHeight="1">
      <c r="A118" s="123"/>
      <c r="B118" s="123"/>
      <c r="C118" s="123"/>
      <c r="D118" s="123"/>
      <c r="E118" s="123"/>
      <c r="F118" s="123"/>
      <c r="G118" s="112"/>
      <c r="H118" s="112"/>
      <c r="I118" s="277"/>
      <c r="J118" s="112"/>
      <c r="K118" s="161"/>
      <c r="L118" s="112"/>
      <c r="M118" s="112"/>
      <c r="N118" s="112"/>
      <c r="O118" s="112"/>
      <c r="P118" s="190"/>
      <c r="Q118" s="112"/>
      <c r="R118" s="125"/>
      <c r="S118" s="112"/>
      <c r="T118" s="125"/>
      <c r="U118" s="112"/>
      <c r="V118" s="112"/>
      <c r="W118" s="112"/>
      <c r="Y118" s="180"/>
      <c r="Z118" s="112"/>
      <c r="AB118" s="112"/>
      <c r="AD118" s="112"/>
    </row>
    <row r="119" spans="1:1016" ht="12" customHeight="1">
      <c r="A119" s="123"/>
      <c r="B119" s="123"/>
      <c r="C119" s="123"/>
      <c r="D119" s="123"/>
      <c r="E119" s="123"/>
      <c r="F119" s="123"/>
      <c r="G119" s="112"/>
      <c r="H119" s="112"/>
      <c r="I119" s="277"/>
      <c r="J119" s="112"/>
      <c r="K119" s="161"/>
      <c r="L119" s="112"/>
      <c r="M119" s="112"/>
      <c r="N119" s="112"/>
      <c r="O119" s="112"/>
      <c r="P119" s="190"/>
      <c r="Q119" s="112"/>
      <c r="R119" s="125"/>
      <c r="S119" s="112"/>
      <c r="T119" s="125"/>
      <c r="U119" s="112"/>
      <c r="V119" s="112"/>
      <c r="W119" s="112"/>
      <c r="Y119" s="180"/>
      <c r="Z119" s="112"/>
      <c r="AB119" s="112"/>
      <c r="AD119" s="112"/>
    </row>
    <row r="120" spans="1:1016" ht="12" customHeight="1">
      <c r="A120" s="130"/>
      <c r="B120" s="130"/>
      <c r="C120" s="130"/>
      <c r="D120" s="130"/>
      <c r="E120" s="130"/>
      <c r="F120" s="130"/>
    </row>
    <row r="121" spans="1:1016" ht="12" customHeight="1">
      <c r="A121" s="130"/>
      <c r="B121" s="130"/>
      <c r="C121" s="130"/>
      <c r="D121" s="130"/>
      <c r="E121" s="130"/>
      <c r="F121" s="130"/>
    </row>
    <row r="122" spans="1:1016" ht="12" customHeight="1">
      <c r="A122" s="130"/>
      <c r="B122" s="130"/>
      <c r="C122" s="130"/>
      <c r="D122" s="130"/>
      <c r="E122" s="130"/>
      <c r="F122" s="130"/>
    </row>
    <row r="123" spans="1:1016" ht="12" customHeight="1">
      <c r="A123" s="136"/>
      <c r="B123" s="136"/>
      <c r="C123" s="136"/>
      <c r="D123" s="136"/>
      <c r="E123" s="136"/>
      <c r="F123" s="136"/>
    </row>
    <row r="124" spans="1:1016" ht="12" customHeight="1">
      <c r="A124" s="136"/>
      <c r="B124" s="136"/>
      <c r="C124" s="136"/>
      <c r="D124" s="136"/>
      <c r="E124" s="136"/>
      <c r="F124" s="136"/>
    </row>
  </sheetData>
  <mergeCells count="3">
    <mergeCell ref="L7:O7"/>
    <mergeCell ref="V7:W7"/>
    <mergeCell ref="AC7:AD7"/>
  </mergeCells>
  <conditionalFormatting sqref="A75:F76 A96:F936">
    <cfRule type="expression" dxfId="335" priority="241">
      <formula>OR($AD75="X",$AB75="X")</formula>
    </cfRule>
    <cfRule type="expression" dxfId="334" priority="242">
      <formula>AND($AD75=1,$AB75=1)</formula>
    </cfRule>
    <cfRule type="expression" dxfId="333" priority="243">
      <formula>$AD75=1</formula>
    </cfRule>
    <cfRule type="expression" dxfId="332" priority="244">
      <formula>$AB75=1</formula>
    </cfRule>
  </conditionalFormatting>
  <conditionalFormatting sqref="F1:F2">
    <cfRule type="dataBar" priority="239">
      <dataBar>
        <cfvo type="num" val="0"/>
        <cfvo type="num" val="1"/>
        <color rgb="FF63C384"/>
      </dataBar>
      <extLst>
        <ext xmlns:x14="http://schemas.microsoft.com/office/spreadsheetml/2009/9/main" uri="{B025F937-C7B1-47D3-B67F-A62EFF666E3E}">
          <x14:id>{9C7CE8AF-0BAA-411B-B075-24D8AE0F69B8}</x14:id>
        </ext>
      </extLst>
    </cfRule>
  </conditionalFormatting>
  <conditionalFormatting sqref="H75:H76 H96:H936">
    <cfRule type="expression" dxfId="331" priority="240">
      <formula>$Q75="X"</formula>
    </cfRule>
  </conditionalFormatting>
  <conditionalFormatting sqref="J48">
    <cfRule type="cellIs" dxfId="330" priority="108" operator="equal">
      <formula>"1..1"</formula>
    </cfRule>
    <cfRule type="cellIs" dxfId="329" priority="109" operator="equal">
      <formula>"0..n"</formula>
    </cfRule>
    <cfRule type="cellIs" dxfId="328" priority="110" operator="equal">
      <formula>"0..1"</formula>
    </cfRule>
  </conditionalFormatting>
  <conditionalFormatting sqref="Q9:Q73">
    <cfRule type="cellIs" dxfId="327" priority="31" operator="equal">
      <formula>"1..1"</formula>
    </cfRule>
    <cfRule type="cellIs" dxfId="326" priority="32" operator="equal">
      <formula>"0..n"</formula>
    </cfRule>
    <cfRule type="cellIs" dxfId="325" priority="33" operator="equal">
      <formula>"0..1"</formula>
    </cfRule>
  </conditionalFormatting>
  <conditionalFormatting sqref="T9:T11">
    <cfRule type="cellIs" dxfId="324" priority="111" operator="equal">
      <formula>"1..1"</formula>
    </cfRule>
    <cfRule type="cellIs" dxfId="323" priority="112" operator="equal">
      <formula>"0..n"</formula>
    </cfRule>
    <cfRule type="cellIs" dxfId="322" priority="113" operator="equal">
      <formula>"0..1"</formula>
    </cfRule>
  </conditionalFormatting>
  <conditionalFormatting sqref="T16:T17">
    <cfRule type="cellIs" dxfId="321" priority="64" operator="equal">
      <formula>"1..1"</formula>
    </cfRule>
    <cfRule type="cellIs" dxfId="320" priority="65" operator="equal">
      <formula>"0..n"</formula>
    </cfRule>
    <cfRule type="cellIs" dxfId="319" priority="66" operator="equal">
      <formula>"0..1"</formula>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9C7CE8AF-0BAA-411B-B075-24D8AE0F69B8}">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870F6-CE42-48B3-9E27-3B433E267890}">
  <dimension ref="A1:AMC69"/>
  <sheetViews>
    <sheetView workbookViewId="0">
      <selection activeCell="C33" sqref="C33"/>
    </sheetView>
  </sheetViews>
  <sheetFormatPr defaultColWidth="9.5" defaultRowHeight="15"/>
  <cols>
    <col min="1" max="1" width="4.625" style="128" customWidth="1"/>
    <col min="2" max="2" width="39.625" style="128" bestFit="1" customWidth="1"/>
    <col min="3" max="3" width="29.375" style="128" customWidth="1"/>
    <col min="4" max="5" width="11.625" style="128" customWidth="1"/>
    <col min="6" max="6" width="8.625" style="128" customWidth="1"/>
    <col min="7" max="7" width="10.125" style="96" customWidth="1"/>
    <col min="8" max="8" width="53.125" style="96" customWidth="1"/>
    <col min="9" max="9" width="33.5" style="225" customWidth="1"/>
    <col min="10" max="10" width="12" style="96" customWidth="1"/>
    <col min="11" max="11" width="17.875" style="159" customWidth="1"/>
    <col min="12" max="12" width="7.625" style="96" hidden="1" customWidth="1"/>
    <col min="13" max="13" width="9.625" style="96" hidden="1" customWidth="1"/>
    <col min="14" max="14" width="6.125" style="96" hidden="1" customWidth="1"/>
    <col min="15" max="15" width="10.625" style="96" hidden="1" customWidth="1"/>
    <col min="16" max="16" width="11.125" style="173" hidden="1" customWidth="1"/>
    <col min="17" max="17" width="10.5" style="96" customWidth="1"/>
    <col min="18" max="18" width="6" style="96" customWidth="1"/>
    <col min="19" max="19" width="18.5" style="96" customWidth="1"/>
    <col min="20" max="20" width="12.625" style="278" customWidth="1"/>
    <col min="21" max="21" width="28.125" style="96" customWidth="1"/>
    <col min="22" max="22" width="8.875" style="96" customWidth="1"/>
    <col min="23" max="23" width="8.125" style="96" customWidth="1"/>
    <col min="24" max="24" width="2.375" hidden="1" customWidth="1"/>
    <col min="25" max="25" width="22.625" style="179" hidden="1" customWidth="1"/>
    <col min="26" max="26" width="24.375" style="96" hidden="1" customWidth="1"/>
    <col min="27" max="27" width="24.5" style="159" hidden="1" customWidth="1"/>
    <col min="28" max="28" width="17.5" style="96" hidden="1" customWidth="1"/>
    <col min="29" max="29" width="0" hidden="1" customWidth="1"/>
    <col min="30" max="30" width="8" style="96" hidden="1" customWidth="1"/>
    <col min="31" max="31" width="8.875" style="128" customWidth="1"/>
    <col min="33" max="1013" width="9.5" style="128"/>
    <col min="1014" max="1014" width="9" style="128" customWidth="1"/>
    <col min="1015" max="1016" width="9" customWidth="1"/>
  </cols>
  <sheetData>
    <row r="1" spans="1:1014" ht="13.5" customHeight="1">
      <c r="A1" s="228" t="s">
        <v>2385</v>
      </c>
      <c r="C1" s="129" t="s">
        <v>813</v>
      </c>
      <c r="E1" s="150" t="s">
        <v>814</v>
      </c>
      <c r="F1" s="157">
        <f>createCase29[[#Totals],[Métier]] / createCase29[[#Totals],[ID]]</f>
        <v>0</v>
      </c>
      <c r="G1" s="128"/>
      <c r="AC1" s="96"/>
      <c r="AE1"/>
      <c r="AF1" s="128"/>
      <c r="ALZ1"/>
    </row>
    <row r="2" spans="1:1014" ht="13.5" customHeight="1">
      <c r="C2" s="141" t="s">
        <v>818</v>
      </c>
      <c r="D2" s="285"/>
      <c r="E2" s="152" t="s">
        <v>819</v>
      </c>
      <c r="F2" s="157">
        <f>createCase29[[#Totals],[NexSIS]] / createCase29[[#Totals],[ID]]</f>
        <v>0</v>
      </c>
      <c r="G2" s="128"/>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78"/>
      <c r="E7" s="138"/>
      <c r="F7" s="138"/>
      <c r="L7" s="591" t="s">
        <v>828</v>
      </c>
      <c r="M7" s="591"/>
      <c r="N7" s="591"/>
      <c r="O7" s="591"/>
      <c r="V7" s="592" t="s">
        <v>829</v>
      </c>
      <c r="W7" s="592"/>
      <c r="AC7" s="591" t="s">
        <v>830</v>
      </c>
      <c r="AD7" s="591"/>
      <c r="AE7"/>
      <c r="AF7" s="128"/>
      <c r="ALZ7"/>
    </row>
    <row r="8" spans="1:1014"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17"/>
      <c r="C9" s="240"/>
      <c r="D9" s="610"/>
      <c r="E9" s="610"/>
      <c r="F9" s="610"/>
      <c r="G9" s="610"/>
      <c r="H9" s="575"/>
      <c r="I9" s="317"/>
      <c r="J9" s="575"/>
      <c r="K9" s="611"/>
      <c r="L9" s="575"/>
      <c r="M9" s="575"/>
      <c r="N9" s="575"/>
      <c r="O9" s="575"/>
      <c r="P9" s="612"/>
      <c r="Q9" s="575"/>
      <c r="R9" s="575"/>
      <c r="S9" s="575"/>
      <c r="T9" s="613"/>
      <c r="U9" s="575"/>
      <c r="V9" s="614"/>
      <c r="W9" s="614"/>
      <c r="X9" s="232"/>
      <c r="Y9" s="615"/>
      <c r="Z9" s="575"/>
      <c r="AA9" s="616"/>
      <c r="AB9" s="575"/>
      <c r="AC9" s="613"/>
      <c r="AD9" s="613"/>
    </row>
    <row r="10" spans="1:1014" s="224" customFormat="1" ht="13.5" customHeight="1">
      <c r="A10" s="225">
        <v>2</v>
      </c>
      <c r="B10" s="253"/>
      <c r="C10" s="221"/>
      <c r="D10" s="221"/>
      <c r="E10" s="221"/>
      <c r="F10" s="221"/>
      <c r="G10" s="221"/>
      <c r="H10" s="575"/>
      <c r="I10" s="131"/>
      <c r="J10" s="575"/>
      <c r="K10" s="611"/>
      <c r="L10" s="575"/>
      <c r="M10" s="575"/>
      <c r="N10" s="575"/>
      <c r="O10" s="575"/>
      <c r="P10" s="612"/>
      <c r="Q10" s="575"/>
      <c r="R10" s="575"/>
      <c r="S10" s="575"/>
      <c r="T10" s="613"/>
      <c r="U10" s="575"/>
      <c r="V10" s="614"/>
      <c r="W10" s="614"/>
      <c r="X10" s="232"/>
      <c r="Y10" s="615"/>
      <c r="Z10" s="575"/>
      <c r="AA10" s="616"/>
      <c r="AB10" s="575"/>
      <c r="AC10" s="613"/>
      <c r="AD10" s="613"/>
    </row>
    <row r="11" spans="1:1014" s="224" customFormat="1" ht="13.5" customHeight="1">
      <c r="A11" s="225">
        <v>3</v>
      </c>
      <c r="B11" s="217"/>
      <c r="C11" s="240"/>
      <c r="D11" s="241"/>
      <c r="E11" s="241"/>
      <c r="F11" s="241"/>
      <c r="G11" s="241"/>
      <c r="H11" s="575"/>
      <c r="I11" s="611"/>
      <c r="J11" s="575"/>
      <c r="K11" s="611"/>
      <c r="L11" s="575"/>
      <c r="M11" s="575"/>
      <c r="N11" s="575"/>
      <c r="O11" s="575"/>
      <c r="P11" s="612"/>
      <c r="Q11" s="575"/>
      <c r="R11" s="575"/>
      <c r="S11" s="575"/>
      <c r="T11" s="613"/>
      <c r="U11" s="575"/>
      <c r="V11" s="614"/>
      <c r="W11" s="614"/>
      <c r="X11" s="232"/>
      <c r="Y11" s="615"/>
      <c r="Z11" s="575"/>
      <c r="AA11" s="616"/>
      <c r="AB11" s="575"/>
      <c r="AC11" s="613"/>
      <c r="AD11" s="613"/>
    </row>
    <row r="12" spans="1:1014" s="224" customFormat="1" ht="13.5" customHeight="1">
      <c r="A12" s="225">
        <v>4</v>
      </c>
      <c r="B12" s="217"/>
      <c r="C12" s="240"/>
      <c r="D12" s="241"/>
      <c r="E12" s="241"/>
      <c r="F12" s="241"/>
      <c r="G12" s="241"/>
      <c r="H12" s="575"/>
      <c r="I12" s="611"/>
      <c r="J12" s="575"/>
      <c r="K12" s="611"/>
      <c r="L12" s="575"/>
      <c r="M12" s="575"/>
      <c r="N12" s="575"/>
      <c r="O12" s="575"/>
      <c r="P12" s="612"/>
      <c r="Q12" s="575"/>
      <c r="R12" s="575"/>
      <c r="S12" s="575"/>
      <c r="T12" s="613"/>
      <c r="U12" s="575"/>
      <c r="V12" s="614"/>
      <c r="W12" s="614"/>
      <c r="X12" s="232"/>
      <c r="Y12" s="615"/>
      <c r="Z12" s="575"/>
      <c r="AA12" s="616"/>
      <c r="AB12" s="575"/>
      <c r="AC12" s="613"/>
      <c r="AD12" s="613"/>
    </row>
    <row r="13" spans="1:1014" s="224" customFormat="1" ht="13.5" customHeight="1">
      <c r="A13" s="225">
        <v>5</v>
      </c>
      <c r="B13" s="217"/>
      <c r="C13" s="610"/>
      <c r="D13" s="241"/>
      <c r="E13" s="241"/>
      <c r="F13" s="241"/>
      <c r="G13" s="241"/>
      <c r="H13" s="575"/>
      <c r="I13" s="611"/>
      <c r="J13" s="575"/>
      <c r="K13" s="611"/>
      <c r="L13" s="575"/>
      <c r="M13" s="575"/>
      <c r="N13" s="575"/>
      <c r="O13" s="575"/>
      <c r="P13" s="612"/>
      <c r="Q13" s="575"/>
      <c r="R13" s="575"/>
      <c r="S13" s="243"/>
      <c r="T13" s="613"/>
      <c r="U13" s="575"/>
      <c r="V13" s="614"/>
      <c r="W13" s="614"/>
      <c r="X13" s="232"/>
      <c r="Y13" s="615"/>
      <c r="Z13" s="575"/>
      <c r="AA13" s="616"/>
      <c r="AB13" s="575"/>
      <c r="AC13" s="613"/>
      <c r="AD13" s="613"/>
    </row>
    <row r="14" spans="1:1014" s="224" customFormat="1" ht="13.5" customHeight="1">
      <c r="A14" s="225">
        <v>6</v>
      </c>
      <c r="B14" s="217"/>
      <c r="C14" s="610"/>
      <c r="D14" s="241"/>
      <c r="E14" s="241"/>
      <c r="F14" s="241"/>
      <c r="G14" s="241"/>
      <c r="H14" s="575"/>
      <c r="I14" s="611"/>
      <c r="J14" s="575"/>
      <c r="K14" s="611"/>
      <c r="L14" s="575"/>
      <c r="M14" s="575"/>
      <c r="N14" s="575"/>
      <c r="O14" s="575"/>
      <c r="P14" s="612"/>
      <c r="Q14" s="575"/>
      <c r="R14" s="575"/>
      <c r="S14" s="575"/>
      <c r="T14" s="613"/>
      <c r="U14" s="575"/>
      <c r="V14" s="614"/>
      <c r="W14" s="614"/>
      <c r="X14" s="232"/>
      <c r="Y14" s="615"/>
      <c r="Z14" s="575"/>
      <c r="AA14" s="616"/>
      <c r="AB14" s="575"/>
      <c r="AC14" s="613"/>
      <c r="AD14" s="613"/>
    </row>
    <row r="15" spans="1:1014" s="224" customFormat="1" ht="13.5" customHeight="1">
      <c r="A15" s="225">
        <v>7</v>
      </c>
      <c r="B15" s="217"/>
      <c r="C15" s="610"/>
      <c r="D15" s="241"/>
      <c r="E15" s="241"/>
      <c r="F15" s="241"/>
      <c r="G15" s="241"/>
      <c r="H15" s="575"/>
      <c r="I15" s="611"/>
      <c r="J15" s="575"/>
      <c r="K15" s="611"/>
      <c r="L15" s="575"/>
      <c r="M15" s="575"/>
      <c r="N15" s="575"/>
      <c r="O15" s="575"/>
      <c r="P15" s="612"/>
      <c r="Q15" s="575"/>
      <c r="R15" s="575"/>
      <c r="S15" s="575"/>
      <c r="T15" s="613"/>
      <c r="U15" s="575"/>
      <c r="V15" s="614"/>
      <c r="W15" s="614"/>
      <c r="X15" s="232"/>
      <c r="Y15" s="615"/>
      <c r="Z15" s="575"/>
      <c r="AA15" s="616"/>
      <c r="AB15" s="575"/>
      <c r="AC15" s="613"/>
      <c r="AD15" s="613"/>
    </row>
    <row r="16" spans="1:1014" s="224" customFormat="1" ht="13.5" customHeight="1">
      <c r="A16" s="225">
        <v>8</v>
      </c>
      <c r="B16" s="217"/>
      <c r="C16" s="610"/>
      <c r="D16" s="241"/>
      <c r="E16" s="241"/>
      <c r="F16" s="241"/>
      <c r="G16" s="241"/>
      <c r="H16" s="575"/>
      <c r="I16" s="611"/>
      <c r="J16" s="575"/>
      <c r="K16" s="611"/>
      <c r="L16" s="575"/>
      <c r="M16" s="575"/>
      <c r="N16" s="575"/>
      <c r="O16" s="575"/>
      <c r="P16" s="612"/>
      <c r="Q16" s="575"/>
      <c r="R16" s="575"/>
      <c r="S16" s="575"/>
      <c r="T16" s="613"/>
      <c r="U16" s="575"/>
      <c r="V16" s="614"/>
      <c r="W16" s="614"/>
      <c r="X16" s="232"/>
      <c r="Y16" s="615"/>
      <c r="Z16" s="575"/>
      <c r="AA16" s="616"/>
      <c r="AB16" s="575"/>
      <c r="AC16" s="613"/>
      <c r="AD16" s="613"/>
    </row>
    <row r="17" spans="1:1017" s="224" customFormat="1" ht="13.5" customHeight="1">
      <c r="A17" s="225">
        <v>9</v>
      </c>
      <c r="B17" s="217"/>
      <c r="C17" s="610"/>
      <c r="D17" s="241"/>
      <c r="E17" s="241"/>
      <c r="F17" s="241"/>
      <c r="G17" s="241"/>
      <c r="H17" s="575"/>
      <c r="I17" s="611"/>
      <c r="J17" s="575"/>
      <c r="K17" s="611"/>
      <c r="L17" s="575"/>
      <c r="M17" s="575"/>
      <c r="N17" s="575"/>
      <c r="O17" s="575"/>
      <c r="P17" s="612"/>
      <c r="Q17" s="575"/>
      <c r="R17" s="575"/>
      <c r="S17" s="575"/>
      <c r="T17" s="613"/>
      <c r="U17" s="575"/>
      <c r="V17" s="614"/>
      <c r="W17" s="614"/>
      <c r="X17" s="232"/>
      <c r="Y17" s="615"/>
      <c r="Z17" s="575"/>
      <c r="AA17" s="616"/>
      <c r="AB17" s="575"/>
      <c r="AC17" s="613"/>
      <c r="AD17" s="613"/>
    </row>
    <row r="18" spans="1:1017" s="224" customFormat="1" ht="13.5" customHeight="1">
      <c r="A18" s="225">
        <v>10</v>
      </c>
      <c r="B18" s="217"/>
      <c r="C18" s="610"/>
      <c r="D18" s="241"/>
      <c r="E18" s="241"/>
      <c r="F18" s="241"/>
      <c r="G18" s="241"/>
      <c r="H18" s="575"/>
      <c r="I18" s="611"/>
      <c r="J18" s="575"/>
      <c r="K18" s="611"/>
      <c r="L18" s="575"/>
      <c r="M18" s="575"/>
      <c r="N18" s="575"/>
      <c r="O18" s="575"/>
      <c r="P18" s="612"/>
      <c r="Q18" s="575"/>
      <c r="R18" s="575"/>
      <c r="S18" s="575"/>
      <c r="T18" s="613"/>
      <c r="U18" s="575"/>
      <c r="V18" s="614"/>
      <c r="W18" s="614"/>
      <c r="X18" s="232"/>
      <c r="Y18" s="615"/>
      <c r="Z18" s="575"/>
      <c r="AA18" s="616"/>
      <c r="AB18" s="575"/>
      <c r="AC18" s="613"/>
      <c r="AD18" s="613"/>
    </row>
    <row r="19" spans="1:1017" s="224" customFormat="1" ht="12" customHeight="1">
      <c r="A19" s="225">
        <f>SUBTOTAL(103,createCase29[ID])</f>
        <v>10</v>
      </c>
      <c r="C19" s="225">
        <f>SUBTOTAL(103,createCase29[Donnée (Niveau 2)])</f>
        <v>0</v>
      </c>
      <c r="D19" s="225">
        <f>SUBTOTAL(103,createCase29[Donnée (Niveau 3)])</f>
        <v>0</v>
      </c>
      <c r="E19" s="225">
        <f>SUBTOTAL(103,createCase29[Donnée (Niveau 4)])</f>
        <v>0</v>
      </c>
      <c r="F19" s="225">
        <f>SUBTOTAL(103,createCase29[Donnée (Niveau 5)])</f>
        <v>0</v>
      </c>
      <c r="G19" s="225">
        <f>SUBTOTAL(103,createCase29[Donnée (Niveau 6)])</f>
        <v>0</v>
      </c>
      <c r="H19" s="225">
        <f>SUBTOTAL(103,createCase29[Description])</f>
        <v>0</v>
      </c>
      <c r="I19" s="225">
        <f>SUBTOTAL(103,createCase29[Exemples])</f>
        <v>0</v>
      </c>
      <c r="J19" s="225">
        <f>SUBTOTAL(103,createCase29[Balise NexSIS])</f>
        <v>0</v>
      </c>
      <c r="K19" s="239">
        <f>SUBTOTAL(103,createCase29[Nouvelle balise])</f>
        <v>0</v>
      </c>
      <c r="L19" s="225">
        <f>SUBTOTAL(103,createCase29[Nantes - balise])</f>
        <v>0</v>
      </c>
      <c r="M19" s="225">
        <f>SUBTOTAL(103,createCase29[Nantes - description])</f>
        <v>0</v>
      </c>
      <c r="N19" s="225">
        <f>SUBTOTAL(103,createCase29[GT399])</f>
        <v>0</v>
      </c>
      <c r="O19" s="225">
        <f>SUBTOTAL(103,createCase29[GT399 description])</f>
        <v>0</v>
      </c>
      <c r="P19" s="234">
        <f>SUBTOTAL(103,createCase29[Priorisation])</f>
        <v>0</v>
      </c>
      <c r="Q19" s="225"/>
      <c r="R19" s="225">
        <f>SUBTOTAL(103,createCase29[Objet])</f>
        <v>0</v>
      </c>
      <c r="S19" s="225">
        <f>SUBTOTAL(103,createCase29[Format (ou type)])</f>
        <v>0</v>
      </c>
      <c r="T19" s="274"/>
      <c r="U19" s="225"/>
      <c r="V19" s="225"/>
      <c r="W19" s="225"/>
      <c r="Y19" s="271">
        <f>SUBTOTAL(103,createCase29[Commentaire Hub Santé])</f>
        <v>0</v>
      </c>
      <c r="Z19" s="225">
        <f>SUBTOTAL(103,createCase29[Commentaire Philippe Dreyfus])</f>
        <v>0</v>
      </c>
      <c r="AA19" s="239"/>
      <c r="AB19" s="225">
        <f>SUBTOTAL(103,createCase29[Commentaire Yann Penverne])</f>
        <v>0</v>
      </c>
      <c r="AC19" s="225">
        <f>SUBTOTAL(103,createCase29[NexSIS])-COUNTIFS(createCase29[NexSIS],"=X")</f>
        <v>0</v>
      </c>
      <c r="AD19" s="225">
        <f>SUBTOTAL(103,createCase29[Métier])-COUNTIFS(createCase29[Métier],"=X")</f>
        <v>0</v>
      </c>
    </row>
    <row r="20" spans="1:1017" s="128" customFormat="1" ht="12" customHeight="1">
      <c r="A20" s="3"/>
      <c r="B20" s="3"/>
      <c r="C20" s="131"/>
      <c r="D20" s="131"/>
      <c r="E20" s="131"/>
      <c r="F20" s="131"/>
      <c r="G20" s="5"/>
      <c r="H20" s="155"/>
      <c r="I20" s="225"/>
      <c r="J20" s="5"/>
      <c r="K20" s="155"/>
      <c r="L20" s="5"/>
      <c r="M20" s="5"/>
      <c r="N20" s="5"/>
      <c r="O20" s="5"/>
      <c r="P20" s="188"/>
      <c r="Q20" s="5"/>
      <c r="R20" s="5"/>
      <c r="S20" s="5"/>
      <c r="T20" s="56"/>
      <c r="U20" s="56"/>
      <c r="V20" s="56"/>
      <c r="W20" s="56"/>
      <c r="X20"/>
      <c r="Y20" s="178"/>
      <c r="Z20" s="5"/>
      <c r="AA20" s="159"/>
      <c r="AB20" s="56"/>
      <c r="AD20" s="56"/>
      <c r="AMA20"/>
      <c r="AMB20"/>
      <c r="AMC20"/>
    </row>
    <row r="21" spans="1:1017" s="128" customFormat="1" ht="12" customHeight="1">
      <c r="A21" s="129"/>
      <c r="B21" s="129"/>
      <c r="C21" s="129"/>
      <c r="D21" s="129"/>
      <c r="E21" s="129"/>
      <c r="F21" s="129"/>
      <c r="G21" s="96"/>
      <c r="H21" s="96"/>
      <c r="I21" s="225"/>
      <c r="J21" s="96"/>
      <c r="K21" s="159"/>
      <c r="L21" s="96"/>
      <c r="M21" s="96"/>
      <c r="N21" s="96"/>
      <c r="O21" s="96"/>
      <c r="P21" s="173"/>
      <c r="Q21" s="96"/>
      <c r="R21" s="96"/>
      <c r="S21" s="96"/>
      <c r="T21" s="278"/>
      <c r="U21" s="96"/>
      <c r="V21" s="96"/>
      <c r="W21" s="96"/>
      <c r="X21"/>
      <c r="Y21" s="179"/>
      <c r="Z21" s="96"/>
      <c r="AA21" s="159"/>
      <c r="AB21" s="96"/>
      <c r="AD21" s="96"/>
      <c r="AMA21"/>
      <c r="AMB21"/>
      <c r="AMC21"/>
    </row>
    <row r="22" spans="1:1017" s="128" customFormat="1" ht="12" customHeight="1">
      <c r="I22" s="224"/>
      <c r="P22" s="174"/>
      <c r="R22" s="96"/>
      <c r="S22" s="96"/>
      <c r="T22" s="278"/>
      <c r="U22" s="96"/>
      <c r="V22" s="96"/>
      <c r="W22" s="96"/>
      <c r="X22"/>
      <c r="Y22" s="179"/>
      <c r="Z22" s="96"/>
      <c r="AA22" s="159"/>
      <c r="AB22" s="96"/>
      <c r="AD22" s="96"/>
      <c r="AMA22"/>
      <c r="AMB22"/>
      <c r="AMC22"/>
    </row>
    <row r="23" spans="1:1017" s="128" customFormat="1" ht="12" customHeight="1">
      <c r="I23" s="224"/>
      <c r="P23" s="174"/>
      <c r="R23" s="96"/>
      <c r="S23" s="96"/>
      <c r="T23" s="278"/>
      <c r="U23" s="96"/>
      <c r="V23" s="96"/>
      <c r="W23" s="96"/>
      <c r="X23"/>
      <c r="Y23" s="179"/>
      <c r="Z23" s="96"/>
      <c r="AA23" s="159"/>
      <c r="AB23" s="96"/>
      <c r="AD23" s="96"/>
      <c r="AMA23"/>
      <c r="AMB23"/>
      <c r="AMC23"/>
    </row>
    <row r="24" spans="1:1017" s="128" customFormat="1" ht="12" customHeight="1">
      <c r="I24" s="224"/>
      <c r="P24" s="174"/>
      <c r="R24" s="96"/>
      <c r="S24" s="96"/>
      <c r="T24" s="278"/>
      <c r="U24" s="96"/>
      <c r="V24" s="96"/>
      <c r="W24" s="96"/>
      <c r="X24"/>
      <c r="Y24" s="179"/>
      <c r="Z24" s="96"/>
      <c r="AA24" s="159"/>
      <c r="AB24" s="96"/>
      <c r="AD24" s="96"/>
      <c r="AMA24"/>
      <c r="AMB24"/>
      <c r="AMC24"/>
    </row>
    <row r="25" spans="1:1017" s="128" customFormat="1" ht="12" customHeight="1">
      <c r="I25" s="224"/>
      <c r="P25" s="174"/>
      <c r="R25" s="96"/>
      <c r="S25" s="96"/>
      <c r="T25" s="278"/>
      <c r="U25" s="96"/>
      <c r="V25" s="96"/>
      <c r="W25" s="96"/>
      <c r="X25"/>
      <c r="Y25" s="179"/>
      <c r="Z25" s="96"/>
      <c r="AA25" s="159"/>
      <c r="AB25" s="96"/>
      <c r="AD25" s="96"/>
      <c r="AMA25"/>
      <c r="AMB25"/>
      <c r="AMC25"/>
    </row>
    <row r="26" spans="1:1017" ht="12" customHeight="1">
      <c r="G26" s="128"/>
      <c r="H26" s="128"/>
      <c r="I26" s="224"/>
      <c r="J26" s="128"/>
      <c r="K26" s="128"/>
      <c r="L26" s="128"/>
      <c r="M26" s="128"/>
      <c r="N26" s="128"/>
      <c r="O26" s="128"/>
      <c r="P26" s="174"/>
      <c r="Q26" s="128"/>
    </row>
    <row r="27" spans="1:1017" s="117" customFormat="1" ht="12" customHeight="1">
      <c r="A27" s="128"/>
      <c r="B27" s="128"/>
      <c r="C27" s="128"/>
      <c r="D27" s="128"/>
      <c r="E27" s="128"/>
      <c r="F27" s="128"/>
      <c r="G27" s="96"/>
      <c r="H27" s="96"/>
      <c r="I27" s="225"/>
      <c r="J27" s="96"/>
      <c r="K27" s="159"/>
      <c r="L27" s="96"/>
      <c r="M27" s="96"/>
      <c r="N27" s="96"/>
      <c r="O27" s="96"/>
      <c r="P27" s="173"/>
      <c r="Q27" s="96"/>
      <c r="R27" s="96"/>
      <c r="S27" s="96"/>
      <c r="T27" s="278"/>
      <c r="U27" s="96"/>
      <c r="V27" s="96"/>
      <c r="W27" s="96"/>
      <c r="X27"/>
      <c r="Y27" s="179"/>
      <c r="Z27" s="96"/>
      <c r="AA27" s="161"/>
      <c r="AB27" s="96"/>
      <c r="AD27" s="96"/>
      <c r="AMB27"/>
    </row>
    <row r="28" spans="1:1017" ht="12" customHeight="1">
      <c r="A28" s="117"/>
      <c r="B28" s="117"/>
      <c r="C28" s="117"/>
      <c r="D28" s="117"/>
      <c r="E28" s="117"/>
      <c r="F28" s="117"/>
      <c r="G28" s="117"/>
      <c r="H28" s="117"/>
      <c r="I28" s="251"/>
      <c r="J28" s="117"/>
      <c r="K28" s="117"/>
      <c r="L28" s="117"/>
      <c r="M28" s="117"/>
      <c r="N28" s="117"/>
      <c r="O28" s="117"/>
      <c r="P28" s="189"/>
      <c r="Q28" s="117"/>
    </row>
    <row r="29" spans="1:1017" ht="12" customHeight="1">
      <c r="R29" s="112"/>
      <c r="S29" s="112"/>
      <c r="T29" s="125"/>
      <c r="U29" s="112"/>
      <c r="V29" s="112"/>
      <c r="W29" s="112"/>
      <c r="Y29" s="180"/>
      <c r="Z29" s="112"/>
      <c r="AB29" s="112"/>
      <c r="AD29" s="112"/>
    </row>
    <row r="41" spans="1:6" ht="12" customHeight="1">
      <c r="A41" s="130"/>
      <c r="B41" s="130"/>
      <c r="C41" s="130"/>
      <c r="D41" s="130"/>
      <c r="E41" s="130"/>
      <c r="F41" s="130"/>
    </row>
    <row r="42" spans="1:6" ht="12" customHeight="1">
      <c r="A42" s="130"/>
      <c r="B42" s="130"/>
      <c r="C42" s="130"/>
      <c r="D42" s="130"/>
      <c r="E42" s="130"/>
      <c r="F42" s="130"/>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6" ht="12" customHeight="1">
      <c r="A49" s="129"/>
      <c r="B49" s="129"/>
      <c r="C49" s="129"/>
      <c r="D49" s="129"/>
      <c r="E49" s="129"/>
      <c r="F49" s="129"/>
    </row>
    <row r="50" spans="1:1016" ht="12" customHeight="1">
      <c r="A50" s="129"/>
      <c r="B50" s="129"/>
      <c r="C50" s="129"/>
      <c r="D50" s="129"/>
      <c r="E50" s="129"/>
      <c r="F50" s="129"/>
    </row>
    <row r="51" spans="1:1016" ht="12" customHeight="1">
      <c r="A51" s="129"/>
      <c r="B51" s="129"/>
      <c r="C51" s="129"/>
      <c r="D51" s="129"/>
      <c r="E51" s="129"/>
      <c r="F51" s="129"/>
    </row>
    <row r="52" spans="1:1016" ht="12" customHeight="1">
      <c r="A52" s="129"/>
      <c r="B52" s="129"/>
      <c r="C52" s="129"/>
      <c r="D52" s="129"/>
      <c r="E52" s="129"/>
      <c r="F52" s="129"/>
    </row>
    <row r="53" spans="1:1016" ht="12" customHeight="1">
      <c r="A53" s="129"/>
      <c r="B53" s="129"/>
      <c r="C53" s="129"/>
      <c r="D53" s="129"/>
      <c r="E53" s="129"/>
      <c r="F53" s="129"/>
    </row>
    <row r="54" spans="1:1016" ht="12" customHeight="1">
      <c r="A54" s="129"/>
      <c r="B54" s="129"/>
      <c r="C54" s="129"/>
      <c r="D54" s="129"/>
      <c r="E54" s="129"/>
      <c r="F54" s="129"/>
    </row>
    <row r="55" spans="1:1016" ht="12" customHeight="1">
      <c r="A55" s="129"/>
      <c r="B55" s="129"/>
      <c r="C55" s="129"/>
      <c r="D55" s="129"/>
      <c r="E55" s="129"/>
      <c r="F55" s="129"/>
    </row>
    <row r="56" spans="1:1016" s="117" customFormat="1" ht="12" customHeight="1">
      <c r="A56" s="129"/>
      <c r="B56" s="129"/>
      <c r="C56" s="129"/>
      <c r="D56" s="129"/>
      <c r="E56" s="129"/>
      <c r="F56" s="129"/>
      <c r="G56" s="96"/>
      <c r="H56" s="96"/>
      <c r="I56" s="225"/>
      <c r="J56" s="96"/>
      <c r="K56" s="159"/>
      <c r="L56" s="96"/>
      <c r="M56" s="96"/>
      <c r="N56" s="96"/>
      <c r="O56" s="96"/>
      <c r="P56" s="173"/>
      <c r="Q56" s="96"/>
      <c r="R56" s="96"/>
      <c r="S56" s="96"/>
      <c r="T56" s="278"/>
      <c r="U56" s="96"/>
      <c r="V56" s="96"/>
      <c r="W56" s="96"/>
      <c r="X56"/>
      <c r="Y56" s="179"/>
      <c r="Z56" s="96"/>
      <c r="AA56" s="161"/>
      <c r="AB56" s="96"/>
      <c r="AD56" s="96"/>
      <c r="AMB56"/>
    </row>
    <row r="57" spans="1:1016" s="117" customFormat="1" ht="12" customHeight="1">
      <c r="A57" s="130"/>
      <c r="B57" s="130"/>
      <c r="C57" s="130"/>
      <c r="D57" s="130"/>
      <c r="E57" s="130"/>
      <c r="F57" s="130"/>
      <c r="G57" s="96"/>
      <c r="H57" s="96"/>
      <c r="I57" s="225"/>
      <c r="J57" s="96"/>
      <c r="K57" s="159"/>
      <c r="L57" s="96"/>
      <c r="M57" s="96"/>
      <c r="N57" s="96"/>
      <c r="O57" s="96"/>
      <c r="P57" s="173"/>
      <c r="Q57" s="96"/>
      <c r="R57" s="96"/>
      <c r="S57" s="96"/>
      <c r="T57" s="278"/>
      <c r="U57" s="96"/>
      <c r="V57" s="96"/>
      <c r="W57" s="96"/>
      <c r="X57"/>
      <c r="Y57" s="179"/>
      <c r="Z57" s="96"/>
      <c r="AA57" s="161"/>
      <c r="AB57" s="96"/>
      <c r="AD57" s="96"/>
      <c r="AMB57"/>
    </row>
    <row r="58" spans="1:1016" s="117" customFormat="1" ht="12" customHeight="1">
      <c r="A58" s="123"/>
      <c r="B58" s="123"/>
      <c r="C58" s="123"/>
      <c r="D58" s="123"/>
      <c r="E58" s="123"/>
      <c r="F58" s="123"/>
      <c r="G58" s="112"/>
      <c r="H58" s="112"/>
      <c r="I58" s="277"/>
      <c r="J58" s="112"/>
      <c r="K58" s="161"/>
      <c r="L58" s="112"/>
      <c r="M58" s="112"/>
      <c r="N58" s="112"/>
      <c r="O58" s="112"/>
      <c r="P58" s="190"/>
      <c r="Q58" s="112"/>
      <c r="R58" s="112"/>
      <c r="S58" s="112"/>
      <c r="T58" s="125"/>
      <c r="U58" s="112"/>
      <c r="V58" s="112"/>
      <c r="W58" s="112"/>
      <c r="X58"/>
      <c r="Y58" s="180"/>
      <c r="Z58" s="112"/>
      <c r="AA58" s="161"/>
      <c r="AB58" s="112"/>
      <c r="AD58" s="112"/>
      <c r="AMB58"/>
    </row>
    <row r="59" spans="1:1016" s="117" customFormat="1" ht="12" customHeight="1">
      <c r="A59" s="123"/>
      <c r="B59" s="123"/>
      <c r="C59" s="123"/>
      <c r="D59" s="123"/>
      <c r="E59" s="123"/>
      <c r="F59" s="123"/>
      <c r="G59" s="112"/>
      <c r="H59" s="112"/>
      <c r="I59" s="277"/>
      <c r="J59" s="112"/>
      <c r="K59" s="161"/>
      <c r="L59" s="112"/>
      <c r="M59" s="112"/>
      <c r="N59" s="112"/>
      <c r="O59" s="112"/>
      <c r="P59" s="190"/>
      <c r="Q59" s="112"/>
      <c r="R59" s="112"/>
      <c r="S59" s="112"/>
      <c r="T59" s="125"/>
      <c r="U59" s="112"/>
      <c r="V59" s="112"/>
      <c r="W59" s="112"/>
      <c r="X59"/>
      <c r="Y59" s="180"/>
      <c r="Z59" s="112"/>
      <c r="AA59" s="161"/>
      <c r="AB59" s="112"/>
      <c r="AD59" s="112"/>
      <c r="AMB59"/>
    </row>
    <row r="60" spans="1:1016" s="117" customFormat="1" ht="12" customHeight="1">
      <c r="A60" s="123"/>
      <c r="B60" s="123"/>
      <c r="C60" s="123"/>
      <c r="D60" s="123"/>
      <c r="E60" s="123"/>
      <c r="F60" s="123"/>
      <c r="G60" s="112"/>
      <c r="H60" s="112"/>
      <c r="I60" s="277"/>
      <c r="J60" s="112"/>
      <c r="K60" s="161"/>
      <c r="L60" s="112"/>
      <c r="M60" s="112"/>
      <c r="N60" s="112"/>
      <c r="O60" s="112"/>
      <c r="P60" s="190"/>
      <c r="Q60" s="112"/>
      <c r="R60" s="112"/>
      <c r="S60" s="112"/>
      <c r="T60" s="125"/>
      <c r="U60" s="112"/>
      <c r="V60" s="112"/>
      <c r="W60" s="112"/>
      <c r="X60"/>
      <c r="Y60" s="180"/>
      <c r="Z60" s="112"/>
      <c r="AA60" s="161"/>
      <c r="AB60" s="112"/>
      <c r="AD60" s="112"/>
      <c r="AMB60"/>
    </row>
    <row r="61" spans="1:1016" s="117" customFormat="1" ht="12" customHeight="1">
      <c r="A61" s="123"/>
      <c r="B61" s="123"/>
      <c r="C61" s="123"/>
      <c r="D61" s="123"/>
      <c r="E61" s="123"/>
      <c r="F61" s="123"/>
      <c r="G61" s="112"/>
      <c r="H61" s="112"/>
      <c r="I61" s="277"/>
      <c r="J61" s="112"/>
      <c r="K61" s="161"/>
      <c r="L61" s="112"/>
      <c r="M61" s="112"/>
      <c r="N61" s="112"/>
      <c r="O61" s="112"/>
      <c r="P61" s="190"/>
      <c r="Q61" s="112"/>
      <c r="R61" s="112"/>
      <c r="S61" s="112"/>
      <c r="T61" s="125"/>
      <c r="U61" s="112"/>
      <c r="V61" s="112"/>
      <c r="W61" s="112"/>
      <c r="X61"/>
      <c r="Y61" s="180"/>
      <c r="Z61" s="112"/>
      <c r="AA61" s="161"/>
      <c r="AB61" s="112"/>
      <c r="AD61" s="112"/>
      <c r="AMB61"/>
    </row>
    <row r="62" spans="1:1016" s="117" customFormat="1" ht="12" customHeight="1">
      <c r="A62" s="123"/>
      <c r="B62" s="123"/>
      <c r="C62" s="123"/>
      <c r="D62" s="123"/>
      <c r="E62" s="123"/>
      <c r="F62" s="123"/>
      <c r="G62" s="112"/>
      <c r="H62" s="112"/>
      <c r="I62" s="277"/>
      <c r="J62" s="112"/>
      <c r="K62" s="161"/>
      <c r="L62" s="112"/>
      <c r="M62" s="112"/>
      <c r="N62" s="112"/>
      <c r="O62" s="112"/>
      <c r="P62" s="190"/>
      <c r="Q62" s="112"/>
      <c r="R62" s="112"/>
      <c r="S62" s="112"/>
      <c r="T62" s="125"/>
      <c r="U62" s="112"/>
      <c r="V62" s="112"/>
      <c r="W62" s="112"/>
      <c r="X62"/>
      <c r="Y62" s="180"/>
      <c r="Z62" s="112"/>
      <c r="AA62" s="161"/>
      <c r="AB62" s="112"/>
      <c r="AD62" s="112"/>
      <c r="AMB62"/>
    </row>
    <row r="63" spans="1:1016" ht="12" customHeight="1">
      <c r="A63" s="123"/>
      <c r="B63" s="123"/>
      <c r="C63" s="123"/>
      <c r="D63" s="123"/>
      <c r="E63" s="123"/>
      <c r="F63" s="123"/>
      <c r="G63" s="112"/>
      <c r="H63" s="112"/>
      <c r="I63" s="277"/>
      <c r="J63" s="112"/>
      <c r="K63" s="161"/>
      <c r="L63" s="112"/>
      <c r="M63" s="112"/>
      <c r="N63" s="112"/>
      <c r="O63" s="112"/>
      <c r="P63" s="190"/>
      <c r="Q63" s="112"/>
      <c r="R63" s="112"/>
      <c r="S63" s="112"/>
      <c r="T63" s="125"/>
      <c r="U63" s="112"/>
      <c r="V63" s="112"/>
      <c r="W63" s="112"/>
      <c r="Y63" s="180"/>
      <c r="Z63" s="112"/>
      <c r="AB63" s="112"/>
      <c r="AD63" s="112"/>
    </row>
    <row r="64" spans="1:1016" ht="12" customHeight="1">
      <c r="A64" s="123"/>
      <c r="B64" s="123"/>
      <c r="C64" s="123"/>
      <c r="D64" s="123"/>
      <c r="E64" s="123"/>
      <c r="F64" s="123"/>
      <c r="G64" s="112"/>
      <c r="H64" s="112"/>
      <c r="I64" s="277"/>
      <c r="J64" s="112"/>
      <c r="K64" s="161"/>
      <c r="L64" s="112"/>
      <c r="M64" s="112"/>
      <c r="N64" s="112"/>
      <c r="O64" s="112"/>
      <c r="P64" s="190"/>
      <c r="Q64" s="112"/>
      <c r="R64" s="112"/>
      <c r="S64" s="112"/>
      <c r="T64" s="125"/>
      <c r="U64" s="112"/>
      <c r="V64" s="112"/>
      <c r="W64" s="112"/>
      <c r="Y64" s="180"/>
      <c r="Z64" s="112"/>
      <c r="AB64" s="112"/>
      <c r="AD64" s="112"/>
    </row>
    <row r="65" spans="1:6" ht="12" customHeight="1">
      <c r="A65" s="130"/>
      <c r="B65" s="130"/>
      <c r="C65" s="130"/>
      <c r="D65" s="130"/>
      <c r="E65" s="130"/>
      <c r="F65" s="130"/>
    </row>
    <row r="66" spans="1:6" ht="12" customHeight="1">
      <c r="A66" s="130"/>
      <c r="B66" s="130"/>
      <c r="C66" s="130"/>
      <c r="D66" s="130"/>
      <c r="E66" s="130"/>
      <c r="F66" s="130"/>
    </row>
    <row r="67" spans="1:6" ht="12" customHeight="1">
      <c r="A67" s="130"/>
      <c r="B67" s="130"/>
      <c r="C67" s="130"/>
      <c r="D67" s="130"/>
      <c r="E67" s="130"/>
      <c r="F67" s="130"/>
    </row>
    <row r="68" spans="1:6" ht="12" customHeight="1">
      <c r="A68" s="136"/>
      <c r="B68" s="136"/>
      <c r="C68" s="136"/>
      <c r="D68" s="136"/>
      <c r="E68" s="136"/>
      <c r="F68" s="136"/>
    </row>
    <row r="69" spans="1:6" ht="12" customHeight="1">
      <c r="A69" s="136"/>
      <c r="B69" s="136"/>
      <c r="C69" s="136"/>
      <c r="D69" s="136"/>
      <c r="E69" s="136"/>
      <c r="F69" s="136"/>
    </row>
  </sheetData>
  <mergeCells count="3">
    <mergeCell ref="L7:O7"/>
    <mergeCell ref="V7:W7"/>
    <mergeCell ref="AC7:AD7"/>
  </mergeCells>
  <conditionalFormatting sqref="A10:A18">
    <cfRule type="expression" dxfId="255" priority="8">
      <formula>OR($AD10="X",$AC10="X")</formula>
    </cfRule>
  </conditionalFormatting>
  <conditionalFormatting sqref="A20:F21 A41:F881">
    <cfRule type="expression" dxfId="254" priority="20">
      <formula>OR($AD20="X",$AB20="X")</formula>
    </cfRule>
    <cfRule type="expression" dxfId="253" priority="21">
      <formula>AND($AD20=1,$AB20=1)</formula>
    </cfRule>
    <cfRule type="expression" dxfId="252" priority="22">
      <formula>$AD20=1</formula>
    </cfRule>
    <cfRule type="expression" dxfId="251" priority="23">
      <formula>$AB20=1</formula>
    </cfRule>
  </conditionalFormatting>
  <conditionalFormatting sqref="A9:G9 A10:A18">
    <cfRule type="expression" dxfId="250" priority="25">
      <formula>AND($AD9=1,$AC9=1)</formula>
    </cfRule>
    <cfRule type="expression" dxfId="249" priority="26">
      <formula>$AD9=1</formula>
    </cfRule>
    <cfRule type="expression" dxfId="248" priority="27">
      <formula>$AC9=1</formula>
    </cfRule>
  </conditionalFormatting>
  <conditionalFormatting sqref="A9:G9">
    <cfRule type="expression" dxfId="247" priority="24">
      <formula>OR($AD9="X",$AC9="X")</formula>
    </cfRule>
  </conditionalFormatting>
  <conditionalFormatting sqref="A9:G18">
    <cfRule type="expression" dxfId="246" priority="28">
      <formula>AND(NOT(ISBLANK($W9)),ISBLANK($AC9),ISBLANK($AD9))</formula>
    </cfRule>
  </conditionalFormatting>
  <conditionalFormatting sqref="B10:G18">
    <cfRule type="expression" dxfId="245" priority="12">
      <formula>OR($AD10="X",$AC10="X")</formula>
    </cfRule>
    <cfRule type="expression" dxfId="244" priority="13">
      <formula>AND($AD10=1,$AC10=1)</formula>
    </cfRule>
    <cfRule type="expression" dxfId="243" priority="14">
      <formula>$AD10=1</formula>
    </cfRule>
    <cfRule type="expression" dxfId="242" priority="15">
      <formula>$AC10=1</formula>
    </cfRule>
  </conditionalFormatting>
  <conditionalFormatting sqref="C9:C18">
    <cfRule type="expression" dxfId="241" priority="11">
      <formula>AND($R9="X",$B9&lt;&gt;"")</formula>
    </cfRule>
  </conditionalFormatting>
  <conditionalFormatting sqref="D9:D18">
    <cfRule type="expression" dxfId="240" priority="2">
      <formula>AND($R9="X",OR($B9&lt;&gt;"",$C9&lt;&gt;""))</formula>
    </cfRule>
  </conditionalFormatting>
  <conditionalFormatting sqref="E9:E18">
    <cfRule type="expression" dxfId="239" priority="3">
      <formula>AND($R9="X",OR($B9&lt;&gt;"",$C9&lt;&gt;"",$D9&lt;&gt;""))</formula>
    </cfRule>
  </conditionalFormatting>
  <conditionalFormatting sqref="F1:F2">
    <cfRule type="dataBar" priority="18">
      <dataBar>
        <cfvo type="num" val="0"/>
        <cfvo type="num" val="1"/>
        <color rgb="FF63C384"/>
      </dataBar>
      <extLst>
        <ext xmlns:x14="http://schemas.microsoft.com/office/spreadsheetml/2009/9/main" uri="{B025F937-C7B1-47D3-B67F-A62EFF666E3E}">
          <x14:id>{0D35D3CE-22F2-4362-B6DA-743694BD32B0}</x14:id>
        </ext>
      </extLst>
    </cfRule>
  </conditionalFormatting>
  <conditionalFormatting sqref="F9:F18">
    <cfRule type="expression" dxfId="238" priority="4">
      <formula>AND($R9="X",OR($B9&lt;&gt;"",$C9&lt;&gt;"",$D9&lt;&gt;"",$E9&lt;&gt;""))</formula>
    </cfRule>
  </conditionalFormatting>
  <conditionalFormatting sqref="G9:G18">
    <cfRule type="expression" dxfId="237" priority="1">
      <formula>AND($R9="X",OR($B9&lt;&gt;"",$C9&lt;&gt;"",$D9&lt;&gt;"",$E9&lt;&gt;"",$F9&lt;&gt;""))</formula>
    </cfRule>
  </conditionalFormatting>
  <conditionalFormatting sqref="H20:H21 H41:H881">
    <cfRule type="expression" dxfId="236" priority="19">
      <formula>$Q20="X"</formula>
    </cfRule>
  </conditionalFormatting>
  <conditionalFormatting sqref="I11:I18">
    <cfRule type="expression" dxfId="235" priority="10">
      <formula>$R11="X"</formula>
    </cfRule>
  </conditionalFormatting>
  <conditionalFormatting sqref="Q9:Q18">
    <cfRule type="cellIs" dxfId="234" priority="5" operator="equal">
      <formula>"1..1"</formula>
    </cfRule>
    <cfRule type="cellIs" dxfId="233" priority="6" operator="equal">
      <formula>"0..n"</formula>
    </cfRule>
    <cfRule type="cellIs" dxfId="232" priority="7" operator="equal">
      <formula>"0..1"</formula>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0D35D3CE-22F2-4362-B6DA-743694BD32B0}">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ALZ30"/>
  <sheetViews>
    <sheetView zoomScaleNormal="100" workbookViewId="0">
      <pane xSplit="7" ySplit="8" topLeftCell="H9" activePane="bottomRight" state="frozen"/>
      <selection pane="bottomRight" activeCell="D16" sqref="D16"/>
      <selection pane="bottomLeft"/>
      <selection pane="topRight"/>
    </sheetView>
  </sheetViews>
  <sheetFormatPr defaultColWidth="9" defaultRowHeight="14.25" customHeight="1"/>
  <cols>
    <col min="1" max="1" width="3.125" customWidth="1"/>
    <col min="2" max="2" width="12.875" bestFit="1" customWidth="1"/>
    <col min="3" max="3" width="31.375" customWidth="1"/>
    <col min="4" max="4" width="8.875" customWidth="1"/>
    <col min="5" max="7" width="11.625" customWidth="1"/>
    <col min="8" max="8" width="52" style="57" customWidth="1"/>
    <col min="9" max="9" width="22.375" customWidth="1"/>
    <col min="10" max="10" width="14.125" hidden="1" customWidth="1"/>
    <col min="11" max="11" width="16" customWidth="1"/>
    <col min="12" max="12" width="10.875" hidden="1" customWidth="1"/>
    <col min="13" max="13" width="7.625" hidden="1" customWidth="1"/>
    <col min="14" max="14" width="8.625" hidden="1" customWidth="1"/>
    <col min="15" max="15" width="7" hidden="1" customWidth="1"/>
    <col min="16" max="16" width="9.125" hidden="1" customWidth="1"/>
    <col min="17" max="17" width="11" bestFit="1" customWidth="1"/>
    <col min="18" max="18" width="7.125" customWidth="1"/>
    <col min="20" max="20" width="14.125" bestFit="1" customWidth="1"/>
    <col min="21" max="21" width="12.5" bestFit="1" customWidth="1"/>
    <col min="22" max="23" width="9" style="95"/>
    <col min="24" max="30" width="0" hidden="1" customWidth="1"/>
  </cols>
  <sheetData>
    <row r="1" spans="1:1014" ht="14.25" customHeight="1">
      <c r="A1" s="228" t="s">
        <v>2386</v>
      </c>
      <c r="B1" s="128"/>
      <c r="C1" s="129" t="s">
        <v>813</v>
      </c>
      <c r="D1" s="128"/>
      <c r="E1" s="150" t="s">
        <v>814</v>
      </c>
      <c r="F1" s="157"/>
      <c r="G1" s="128"/>
      <c r="H1" s="589"/>
      <c r="I1" s="589"/>
      <c r="J1" s="589"/>
      <c r="K1" s="159"/>
      <c r="L1" s="96"/>
      <c r="M1" s="96"/>
      <c r="N1" s="96"/>
      <c r="O1" s="590" t="s">
        <v>816</v>
      </c>
      <c r="P1" s="590"/>
      <c r="Q1" s="96"/>
      <c r="R1" s="96"/>
      <c r="S1" s="96"/>
      <c r="T1" s="278"/>
      <c r="U1" s="96"/>
      <c r="V1" s="278"/>
      <c r="W1" s="278"/>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C2" s="141" t="s">
        <v>818</v>
      </c>
      <c r="D2" s="285"/>
      <c r="E2" s="152" t="s">
        <v>819</v>
      </c>
      <c r="F2" s="157"/>
      <c r="G2" s="128"/>
      <c r="H2" s="589"/>
      <c r="I2" s="589"/>
      <c r="J2" s="589"/>
      <c r="K2" s="159"/>
      <c r="L2" s="96"/>
      <c r="M2" s="96"/>
      <c r="N2" s="96"/>
      <c r="O2" s="96"/>
      <c r="P2" s="173"/>
      <c r="Q2" s="96"/>
      <c r="R2" s="96"/>
      <c r="S2" s="96"/>
      <c r="T2" s="278"/>
      <c r="U2" s="96"/>
      <c r="V2" s="278"/>
      <c r="W2" s="278"/>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278"/>
      <c r="W3" s="278"/>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278"/>
      <c r="W4" s="278"/>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280"/>
      <c r="W5" s="280"/>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278"/>
      <c r="W6" s="278"/>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591" t="s">
        <v>828</v>
      </c>
      <c r="M7" s="591"/>
      <c r="N7" s="591"/>
      <c r="O7" s="591"/>
      <c r="P7" s="173"/>
      <c r="Q7" s="96"/>
      <c r="R7" s="96"/>
      <c r="S7" s="96"/>
      <c r="T7" s="278"/>
      <c r="U7" s="96"/>
      <c r="V7" s="597" t="s">
        <v>829</v>
      </c>
      <c r="W7" s="597"/>
      <c r="Y7" s="179"/>
      <c r="Z7" s="96"/>
      <c r="AA7" s="159"/>
      <c r="AB7" s="96"/>
      <c r="AC7" s="591" t="s">
        <v>830</v>
      </c>
      <c r="AD7" s="591"/>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3" t="s">
        <v>831</v>
      </c>
      <c r="B8" s="279" t="s">
        <v>832</v>
      </c>
      <c r="C8" s="279" t="s">
        <v>833</v>
      </c>
      <c r="D8" s="279" t="s">
        <v>834</v>
      </c>
      <c r="E8" s="279" t="s">
        <v>835</v>
      </c>
      <c r="F8" s="279" t="s">
        <v>836</v>
      </c>
      <c r="G8" s="279" t="s">
        <v>837</v>
      </c>
      <c r="H8" s="404" t="s">
        <v>9</v>
      </c>
      <c r="I8" s="404" t="s">
        <v>838</v>
      </c>
      <c r="J8" s="404" t="s">
        <v>841</v>
      </c>
      <c r="K8" s="404" t="s">
        <v>842</v>
      </c>
      <c r="L8" s="404" t="s">
        <v>843</v>
      </c>
      <c r="M8" s="404" t="s">
        <v>844</v>
      </c>
      <c r="N8" s="404" t="s">
        <v>845</v>
      </c>
      <c r="O8" s="404" t="s">
        <v>846</v>
      </c>
      <c r="P8" s="404" t="s">
        <v>847</v>
      </c>
      <c r="Q8" s="404" t="s">
        <v>677</v>
      </c>
      <c r="R8" s="404" t="s">
        <v>3</v>
      </c>
      <c r="S8" s="404" t="s">
        <v>2387</v>
      </c>
      <c r="T8" s="405" t="s">
        <v>914</v>
      </c>
      <c r="U8" s="404"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3.5" customHeight="1">
      <c r="A9" s="470">
        <v>1</v>
      </c>
      <c r="B9" s="415" t="s">
        <v>2388</v>
      </c>
      <c r="C9" s="415"/>
      <c r="D9" s="415"/>
      <c r="E9" s="415"/>
      <c r="F9" s="415"/>
      <c r="G9" s="415"/>
      <c r="H9" s="317" t="s">
        <v>2389</v>
      </c>
      <c r="I9" s="417" t="s">
        <v>1620</v>
      </c>
      <c r="J9" s="317" t="s">
        <v>2390</v>
      </c>
      <c r="K9" s="317" t="s">
        <v>1879</v>
      </c>
      <c r="L9" s="342" t="s">
        <v>864</v>
      </c>
      <c r="M9" s="342" t="s">
        <v>1879</v>
      </c>
      <c r="N9" s="418"/>
      <c r="O9" s="418"/>
      <c r="P9" s="418" t="s">
        <v>864</v>
      </c>
      <c r="Q9" s="417" t="s">
        <v>823</v>
      </c>
      <c r="R9" s="342" t="s">
        <v>864</v>
      </c>
      <c r="S9" s="342" t="s">
        <v>1879</v>
      </c>
      <c r="T9" s="418"/>
      <c r="U9" s="418"/>
      <c r="V9" s="506" t="s">
        <v>864</v>
      </c>
      <c r="W9" s="507" t="s">
        <v>864</v>
      </c>
      <c r="ALN9" s="238"/>
      <c r="ALO9" s="238"/>
      <c r="ALP9" s="238"/>
      <c r="ALQ9" s="238"/>
      <c r="ALR9" s="238"/>
      <c r="ALS9" s="238"/>
      <c r="ALT9" s="238"/>
      <c r="ALU9" s="238"/>
      <c r="ALV9" s="238"/>
      <c r="ALW9" s="238"/>
      <c r="ALX9" s="238"/>
      <c r="ALY9" s="238"/>
      <c r="ALZ9" s="238"/>
    </row>
    <row r="10" spans="1:1014" ht="14.25" customHeight="1">
      <c r="A10" s="396">
        <v>2</v>
      </c>
      <c r="B10" s="397"/>
      <c r="C10" s="397" t="s">
        <v>2391</v>
      </c>
      <c r="D10" s="466"/>
      <c r="E10" s="466"/>
      <c r="F10" s="466"/>
      <c r="G10" s="466"/>
      <c r="H10" s="323" t="s">
        <v>2392</v>
      </c>
      <c r="I10" s="323" t="s">
        <v>2393</v>
      </c>
      <c r="K10" s="323" t="s">
        <v>1205</v>
      </c>
      <c r="Q10" s="325" t="s">
        <v>820</v>
      </c>
      <c r="R10" s="224"/>
      <c r="S10" s="224" t="s">
        <v>863</v>
      </c>
      <c r="V10" s="95" t="s">
        <v>864</v>
      </c>
      <c r="W10" s="95" t="s">
        <v>864</v>
      </c>
    </row>
    <row r="11" spans="1:1014" ht="14.25" customHeight="1">
      <c r="A11" s="396">
        <v>3</v>
      </c>
      <c r="B11" s="397"/>
      <c r="C11" s="397" t="s">
        <v>2394</v>
      </c>
      <c r="D11" s="397"/>
      <c r="E11" s="397"/>
      <c r="F11" s="397"/>
      <c r="G11" s="397"/>
      <c r="H11" s="317" t="s">
        <v>2395</v>
      </c>
      <c r="I11" s="317" t="s">
        <v>2396</v>
      </c>
      <c r="K11" s="317" t="s">
        <v>879</v>
      </c>
      <c r="Q11" s="320" t="s">
        <v>820</v>
      </c>
      <c r="R11" s="224"/>
      <c r="S11" s="224" t="s">
        <v>879</v>
      </c>
      <c r="V11" s="95" t="s">
        <v>864</v>
      </c>
      <c r="W11" s="95" t="s">
        <v>864</v>
      </c>
    </row>
    <row r="12" spans="1:1014" ht="14.25" customHeight="1">
      <c r="A12" s="470">
        <v>4</v>
      </c>
      <c r="B12" s="397"/>
      <c r="C12" s="397" t="s">
        <v>2397</v>
      </c>
      <c r="D12" s="397"/>
      <c r="E12" s="397"/>
      <c r="F12" s="397"/>
      <c r="G12" s="397"/>
      <c r="H12" s="400" t="s">
        <v>2398</v>
      </c>
      <c r="I12" s="400" t="s">
        <v>2399</v>
      </c>
      <c r="K12" s="400" t="s">
        <v>2400</v>
      </c>
      <c r="Q12" s="333" t="s">
        <v>817</v>
      </c>
      <c r="R12" s="224"/>
      <c r="S12" s="224" t="s">
        <v>879</v>
      </c>
      <c r="V12" s="95" t="s">
        <v>864</v>
      </c>
      <c r="W12" s="95" t="s">
        <v>864</v>
      </c>
    </row>
    <row r="13" spans="1:1014" ht="14.25" customHeight="1">
      <c r="A13" s="396">
        <v>5</v>
      </c>
      <c r="B13" s="397"/>
      <c r="C13" s="397" t="s">
        <v>1154</v>
      </c>
      <c r="D13" s="397"/>
      <c r="E13" s="397"/>
      <c r="F13" s="397"/>
      <c r="G13" s="397"/>
      <c r="H13" s="399" t="s">
        <v>2401</v>
      </c>
      <c r="I13" s="394"/>
      <c r="K13" s="399" t="s">
        <v>1156</v>
      </c>
      <c r="Q13" s="395" t="s">
        <v>823</v>
      </c>
      <c r="R13" s="224" t="s">
        <v>864</v>
      </c>
      <c r="S13" s="317" t="s">
        <v>1156</v>
      </c>
      <c r="V13" s="95" t="s">
        <v>864</v>
      </c>
      <c r="W13" s="95" t="s">
        <v>864</v>
      </c>
    </row>
    <row r="14" spans="1:1014" ht="14.25" customHeight="1">
      <c r="A14" s="396">
        <v>6</v>
      </c>
      <c r="B14" s="397"/>
      <c r="C14" s="397"/>
      <c r="D14" s="397" t="s">
        <v>1898</v>
      </c>
      <c r="E14" s="397"/>
      <c r="F14" s="397"/>
      <c r="G14" s="397"/>
      <c r="H14" s="400" t="s">
        <v>2402</v>
      </c>
      <c r="I14" s="400" t="s">
        <v>1901</v>
      </c>
      <c r="K14" s="400" t="s">
        <v>1160</v>
      </c>
      <c r="Q14" s="325" t="s">
        <v>820</v>
      </c>
      <c r="R14" s="224"/>
      <c r="S14" s="323" t="s">
        <v>1079</v>
      </c>
      <c r="V14" s="95" t="s">
        <v>864</v>
      </c>
      <c r="W14" s="95" t="s">
        <v>864</v>
      </c>
    </row>
    <row r="15" spans="1:1014" ht="14.25" customHeight="1">
      <c r="A15" s="470">
        <v>7</v>
      </c>
      <c r="B15" s="397"/>
      <c r="C15" s="397"/>
      <c r="D15" s="397" t="s">
        <v>1163</v>
      </c>
      <c r="E15" s="397"/>
      <c r="F15" s="397"/>
      <c r="G15" s="397"/>
      <c r="H15" s="399" t="s">
        <v>2403</v>
      </c>
      <c r="I15" s="401" t="s">
        <v>1905</v>
      </c>
      <c r="K15" s="399" t="s">
        <v>1166</v>
      </c>
      <c r="Q15" s="320" t="s">
        <v>820</v>
      </c>
      <c r="R15" s="224"/>
      <c r="S15" s="317" t="s">
        <v>1079</v>
      </c>
      <c r="V15" s="95" t="s">
        <v>864</v>
      </c>
      <c r="W15" s="95" t="s">
        <v>864</v>
      </c>
    </row>
    <row r="16" spans="1:1014" ht="14.25" customHeight="1">
      <c r="A16" s="396">
        <v>8</v>
      </c>
      <c r="B16" s="397"/>
      <c r="C16" s="397"/>
      <c r="D16" s="397" t="s">
        <v>1907</v>
      </c>
      <c r="E16" s="397"/>
      <c r="F16" s="397"/>
      <c r="G16" s="397"/>
      <c r="H16" s="400" t="s">
        <v>2404</v>
      </c>
      <c r="I16" s="402">
        <v>1</v>
      </c>
      <c r="K16" s="400" t="s">
        <v>1169</v>
      </c>
      <c r="Q16" s="333" t="s">
        <v>817</v>
      </c>
      <c r="R16" s="224"/>
      <c r="S16" s="323" t="s">
        <v>1079</v>
      </c>
      <c r="V16" s="95" t="s">
        <v>864</v>
      </c>
      <c r="W16" s="95" t="s">
        <v>864</v>
      </c>
    </row>
    <row r="17" spans="1:23" ht="14.25" customHeight="1">
      <c r="A17" s="396">
        <v>9</v>
      </c>
      <c r="B17" s="397"/>
      <c r="C17" s="397" t="s">
        <v>2405</v>
      </c>
      <c r="D17" s="397"/>
      <c r="E17" s="397"/>
      <c r="F17" s="397"/>
      <c r="G17" s="397"/>
      <c r="H17" s="399" t="s">
        <v>2406</v>
      </c>
      <c r="I17" s="464">
        <v>80</v>
      </c>
      <c r="K17" s="399" t="s">
        <v>1177</v>
      </c>
      <c r="Q17" s="333" t="s">
        <v>817</v>
      </c>
      <c r="R17" s="224"/>
      <c r="S17" s="323" t="s">
        <v>1079</v>
      </c>
      <c r="V17" s="95" t="s">
        <v>864</v>
      </c>
      <c r="W17" s="95" t="s">
        <v>864</v>
      </c>
    </row>
    <row r="18" spans="1:23" ht="14.25" customHeight="1">
      <c r="A18" s="470">
        <v>10</v>
      </c>
      <c r="B18" s="397"/>
      <c r="C18" s="397" t="s">
        <v>2407</v>
      </c>
      <c r="D18" s="397"/>
      <c r="E18" s="397"/>
      <c r="F18" s="397"/>
      <c r="G18" s="397"/>
      <c r="H18" s="400" t="s">
        <v>2408</v>
      </c>
      <c r="I18" s="402">
        <v>96</v>
      </c>
      <c r="K18" s="400" t="s">
        <v>2409</v>
      </c>
      <c r="Q18" s="333" t="s">
        <v>817</v>
      </c>
      <c r="R18" s="224"/>
      <c r="S18" s="224" t="s">
        <v>863</v>
      </c>
      <c r="V18" s="95" t="s">
        <v>864</v>
      </c>
      <c r="W18" s="95" t="s">
        <v>864</v>
      </c>
    </row>
    <row r="19" spans="1:23" ht="14.25" customHeight="1">
      <c r="A19" s="396">
        <v>11</v>
      </c>
      <c r="B19" s="397"/>
      <c r="C19" s="397" t="s">
        <v>2410</v>
      </c>
      <c r="D19" s="397"/>
      <c r="E19" s="397"/>
      <c r="F19" s="397"/>
      <c r="G19" s="397"/>
      <c r="H19" s="399" t="s">
        <v>2411</v>
      </c>
      <c r="I19" s="464" t="s">
        <v>2412</v>
      </c>
      <c r="K19" s="399" t="s">
        <v>2413</v>
      </c>
      <c r="Q19" s="333" t="s">
        <v>817</v>
      </c>
      <c r="R19" s="224"/>
      <c r="S19" s="224" t="s">
        <v>863</v>
      </c>
      <c r="T19" s="457" t="s">
        <v>864</v>
      </c>
      <c r="U19" t="s">
        <v>2414</v>
      </c>
      <c r="V19" s="95" t="s">
        <v>864</v>
      </c>
      <c r="W19" s="95" t="s">
        <v>864</v>
      </c>
    </row>
    <row r="20" spans="1:23" ht="14.25" customHeight="1">
      <c r="A20" s="396">
        <v>12</v>
      </c>
      <c r="B20" s="397"/>
      <c r="C20" s="397" t="s">
        <v>2415</v>
      </c>
      <c r="D20" s="397"/>
      <c r="E20" s="397"/>
      <c r="F20" s="397"/>
      <c r="G20" s="397"/>
      <c r="H20" s="323" t="s">
        <v>2416</v>
      </c>
      <c r="I20" s="376" t="b">
        <v>1</v>
      </c>
      <c r="K20" s="323" t="s">
        <v>2417</v>
      </c>
      <c r="Q20" s="333" t="s">
        <v>817</v>
      </c>
      <c r="R20" s="224"/>
      <c r="S20" s="323" t="s">
        <v>2124</v>
      </c>
      <c r="T20" s="457"/>
      <c r="U20" s="225"/>
      <c r="V20" s="95" t="s">
        <v>864</v>
      </c>
      <c r="W20" s="95" t="s">
        <v>864</v>
      </c>
    </row>
    <row r="21" spans="1:23" ht="14.25" customHeight="1">
      <c r="A21" s="470">
        <v>13</v>
      </c>
      <c r="B21" s="397"/>
      <c r="C21" s="397" t="s">
        <v>2418</v>
      </c>
      <c r="D21" s="397"/>
      <c r="E21" s="397"/>
      <c r="F21" s="397"/>
      <c r="G21" s="397"/>
      <c r="H21" s="399" t="s">
        <v>2419</v>
      </c>
      <c r="I21" s="376" t="b">
        <v>1</v>
      </c>
      <c r="K21" s="399" t="s">
        <v>2420</v>
      </c>
      <c r="Q21" s="333" t="s">
        <v>817</v>
      </c>
      <c r="R21" s="224"/>
      <c r="S21" s="323" t="s">
        <v>2124</v>
      </c>
      <c r="T21" s="457"/>
      <c r="U21" s="225"/>
      <c r="V21" s="95" t="s">
        <v>864</v>
      </c>
      <c r="W21" s="95" t="s">
        <v>864</v>
      </c>
    </row>
    <row r="22" spans="1:23" ht="14.25" customHeight="1">
      <c r="A22" s="396">
        <v>14</v>
      </c>
      <c r="B22" s="397"/>
      <c r="C22" s="397" t="s">
        <v>2053</v>
      </c>
      <c r="D22" s="397"/>
      <c r="E22" s="397"/>
      <c r="F22" s="397"/>
      <c r="G22" s="397"/>
      <c r="H22" s="323" t="s">
        <v>2421</v>
      </c>
      <c r="I22" s="376" t="s">
        <v>2422</v>
      </c>
      <c r="K22" s="323" t="s">
        <v>888</v>
      </c>
      <c r="Q22" s="333" t="s">
        <v>817</v>
      </c>
      <c r="R22" s="224"/>
      <c r="S22" s="224" t="s">
        <v>863</v>
      </c>
      <c r="T22" s="238" t="s">
        <v>864</v>
      </c>
      <c r="U22" s="225" t="s">
        <v>2423</v>
      </c>
      <c r="V22" s="95" t="s">
        <v>864</v>
      </c>
      <c r="W22" s="95" t="s">
        <v>864</v>
      </c>
    </row>
    <row r="23" spans="1:23" ht="14.25" customHeight="1" thickBot="1">
      <c r="A23" s="491">
        <v>15</v>
      </c>
      <c r="B23" s="476"/>
      <c r="C23" s="476" t="s">
        <v>2424</v>
      </c>
      <c r="D23" s="476"/>
      <c r="E23" s="476"/>
      <c r="F23" s="476"/>
      <c r="G23" s="476"/>
      <c r="H23" s="494" t="s">
        <v>2425</v>
      </c>
      <c r="I23" s="495" t="s">
        <v>2426</v>
      </c>
      <c r="J23" s="479"/>
      <c r="K23" s="494" t="s">
        <v>2427</v>
      </c>
      <c r="L23" s="479"/>
      <c r="M23" s="479"/>
      <c r="N23" s="479"/>
      <c r="O23" s="479"/>
      <c r="P23" s="479"/>
      <c r="Q23" s="480" t="s">
        <v>817</v>
      </c>
      <c r="R23" s="482"/>
      <c r="S23" s="482" t="s">
        <v>863</v>
      </c>
      <c r="T23" s="481" t="s">
        <v>864</v>
      </c>
      <c r="U23" s="496" t="s">
        <v>2428</v>
      </c>
      <c r="V23" s="497" t="s">
        <v>864</v>
      </c>
      <c r="W23" s="497" t="s">
        <v>864</v>
      </c>
    </row>
    <row r="24" spans="1:23" ht="15.75" thickTop="1">
      <c r="A24" s="407">
        <f>SUBTOTAL(103,Tableau3[ID])</f>
        <v>15</v>
      </c>
      <c r="B24" s="407">
        <f>SUBTOTAL(103,Tableau3[Donnée (Niveau 1)])</f>
        <v>1</v>
      </c>
      <c r="C24" s="407">
        <f>SUBTOTAL(103,Tableau3[Donnée (Niveau 2)])</f>
        <v>11</v>
      </c>
      <c r="D24" s="407">
        <f>SUBTOTAL(103,Tableau3[Donnée (Niveau 3)])</f>
        <v>3</v>
      </c>
      <c r="E24" s="407">
        <f>SUBTOTAL(103,Tableau3[Donnée (Niveau 4)])</f>
        <v>0</v>
      </c>
      <c r="F24" s="407">
        <f>SUBTOTAL(103,Tableau3[Donnée (Niveau 5)])</f>
        <v>0</v>
      </c>
      <c r="G24" s="407">
        <f>SUBTOTAL(103,Tableau3[Donnée (Niveau 6)])</f>
        <v>0</v>
      </c>
      <c r="H24" s="407">
        <f>SUBTOTAL(103,Tableau3[Description])</f>
        <v>15</v>
      </c>
      <c r="I24" s="407">
        <f>SUBTOTAL(103,Tableau3[Exemples])</f>
        <v>14</v>
      </c>
      <c r="J24" s="407">
        <f>SUBTOTAL(103,Tableau3[Balise NexSIS])</f>
        <v>1</v>
      </c>
      <c r="K24" s="407">
        <f>SUBTOTAL(103,Tableau3[Nouvelle balise])</f>
        <v>15</v>
      </c>
      <c r="L24" s="407">
        <f>SUBTOTAL(103,Tableau3[Nantes - balise])</f>
        <v>1</v>
      </c>
      <c r="M24" s="407">
        <f>SUBTOTAL(103,Tableau3[Nantes - description])</f>
        <v>1</v>
      </c>
      <c r="N24" s="407">
        <f>SUBTOTAL(103,Tableau3[GT399])</f>
        <v>0</v>
      </c>
      <c r="O24" s="407">
        <f>SUBTOTAL(103,Tableau3[GT399 description])</f>
        <v>0</v>
      </c>
      <c r="P24" s="407">
        <f>SUBTOTAL(103,Tableau3[Priorisation])</f>
        <v>1</v>
      </c>
      <c r="Q24" s="407">
        <f>SUBTOTAL(103,Tableau3[Cardinalité])</f>
        <v>15</v>
      </c>
      <c r="R24" s="407">
        <f>SUBTOTAL(103,Tableau3[Objet])</f>
        <v>2</v>
      </c>
      <c r="S24" s="407">
        <f>SUBTOTAL(103,Tableau3[Format (ou type)])</f>
        <v>15</v>
      </c>
      <c r="T24" s="407">
        <f>SUBTOTAL(103,Tableau3[Nomenclature/ énumération])</f>
        <v>3</v>
      </c>
      <c r="U24" s="407">
        <f>SUBTOTAL(103,Tableau3[Détails de format])</f>
        <v>3</v>
      </c>
      <c r="V24" s="407">
        <f>SUBTOTAL(103,Tableau3[15-18])</f>
        <v>15</v>
      </c>
      <c r="W24" s="407">
        <f>SUBTOTAL(103,Tableau3[15-15])</f>
        <v>15</v>
      </c>
    </row>
    <row r="25" spans="1:23"/>
    <row r="26" spans="1:23"/>
    <row r="27" spans="1:23"/>
    <row r="28" spans="1:23"/>
    <row r="29" spans="1:23"/>
    <row r="30" spans="1:23"/>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{0AB312F6-516C-4D2C-98CE-D4D27F95F7F9}</x14:id>
        </ext>
      </extLst>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0AB312F6-516C-4D2C-98CE-D4D27F95F7F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E9E87-D1B0-486D-9044-223D3B5E24C9}">
  <dimension ref="A1:ALZ10"/>
  <sheetViews>
    <sheetView workbookViewId="0">
      <pane xSplit="7" ySplit="8" topLeftCell="H9" activePane="bottomRight" state="frozen"/>
      <selection pane="bottomRight" activeCell="K9" sqref="K9"/>
      <selection pane="bottomLeft"/>
      <selection pane="topRight"/>
    </sheetView>
  </sheetViews>
  <sheetFormatPr defaultColWidth="9" defaultRowHeight="14.25"/>
  <cols>
    <col min="1" max="1" width="4.125" customWidth="1"/>
    <col min="2" max="2" width="21.875" customWidth="1"/>
    <col min="3" max="3" width="26.5" customWidth="1"/>
    <col min="4" max="4" width="11" customWidth="1"/>
    <col min="5" max="5" width="11" style="57" customWidth="1"/>
    <col min="6" max="7" width="11" customWidth="1"/>
    <col min="8" max="8" width="44.125" customWidth="1"/>
    <col min="9" max="9" width="16.125" customWidth="1"/>
    <col min="10" max="10" width="0" hidden="1" customWidth="1"/>
    <col min="11" max="11" width="12.125" customWidth="1"/>
    <col min="12" max="16" width="0" hidden="1" customWidth="1"/>
    <col min="17" max="17" width="10.125" customWidth="1"/>
    <col min="19" max="19" width="9.625" customWidth="1"/>
    <col min="20" max="20" width="13.125" customWidth="1"/>
    <col min="21" max="21" width="9.5" customWidth="1"/>
    <col min="24" max="30" width="0" hidden="1" customWidth="1"/>
  </cols>
  <sheetData>
    <row r="1" spans="1:1014" ht="14.25" customHeight="1">
      <c r="A1" s="228" t="s">
        <v>2429</v>
      </c>
      <c r="B1" s="128"/>
      <c r="C1" s="129" t="s">
        <v>813</v>
      </c>
      <c r="D1" s="128"/>
      <c r="E1" s="150" t="s">
        <v>814</v>
      </c>
      <c r="F1" s="157"/>
      <c r="G1" s="128"/>
      <c r="H1" s="589"/>
      <c r="I1" s="589"/>
      <c r="J1" s="589"/>
      <c r="K1" s="159"/>
      <c r="L1" s="96"/>
      <c r="M1" s="96"/>
      <c r="N1" s="96"/>
      <c r="O1" s="590" t="s">
        <v>816</v>
      </c>
      <c r="P1" s="590"/>
      <c r="Q1" s="96"/>
      <c r="R1" s="96"/>
      <c r="S1" s="96"/>
      <c r="T1" s="278"/>
      <c r="U1" s="96"/>
      <c r="V1" s="96"/>
      <c r="W1" s="96"/>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C2" s="141" t="s">
        <v>818</v>
      </c>
      <c r="D2" s="285"/>
      <c r="E2" s="152" t="s">
        <v>819</v>
      </c>
      <c r="F2" s="157"/>
      <c r="G2" s="128"/>
      <c r="H2" s="589"/>
      <c r="I2" s="589"/>
      <c r="J2" s="589"/>
      <c r="K2" s="159"/>
      <c r="L2" s="96"/>
      <c r="M2" s="96"/>
      <c r="N2" s="96"/>
      <c r="O2" s="96"/>
      <c r="P2" s="173"/>
      <c r="Q2" s="96"/>
      <c r="R2" s="96"/>
      <c r="S2" s="96"/>
      <c r="T2" s="278"/>
      <c r="U2" s="96"/>
      <c r="V2" s="96"/>
      <c r="W2" s="96"/>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96"/>
      <c r="W3" s="96"/>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96"/>
      <c r="W4" s="96"/>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148"/>
      <c r="W5" s="148"/>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96"/>
      <c r="W6" s="96"/>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591" t="s">
        <v>828</v>
      </c>
      <c r="M7" s="591"/>
      <c r="N7" s="591"/>
      <c r="O7" s="591"/>
      <c r="P7" s="173"/>
      <c r="Q7" s="96"/>
      <c r="R7" s="96"/>
      <c r="S7" s="96"/>
      <c r="T7" s="278"/>
      <c r="U7" s="96"/>
      <c r="V7" s="597" t="s">
        <v>829</v>
      </c>
      <c r="W7" s="597"/>
      <c r="Y7" s="179"/>
      <c r="Z7" s="96"/>
      <c r="AA7" s="159"/>
      <c r="AB7" s="96"/>
      <c r="AC7" s="591" t="s">
        <v>830</v>
      </c>
      <c r="AD7" s="591"/>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3" t="s">
        <v>831</v>
      </c>
      <c r="B8" s="279" t="s">
        <v>832</v>
      </c>
      <c r="C8" s="279" t="s">
        <v>833</v>
      </c>
      <c r="D8" s="279" t="s">
        <v>834</v>
      </c>
      <c r="E8" s="279" t="s">
        <v>835</v>
      </c>
      <c r="F8" s="279" t="s">
        <v>836</v>
      </c>
      <c r="G8" s="279" t="s">
        <v>837</v>
      </c>
      <c r="H8" s="404" t="s">
        <v>9</v>
      </c>
      <c r="I8" s="404" t="s">
        <v>838</v>
      </c>
      <c r="J8" s="404" t="s">
        <v>841</v>
      </c>
      <c r="K8" s="404" t="s">
        <v>842</v>
      </c>
      <c r="L8" s="404" t="s">
        <v>843</v>
      </c>
      <c r="M8" s="404" t="s">
        <v>844</v>
      </c>
      <c r="N8" s="404" t="s">
        <v>845</v>
      </c>
      <c r="O8" s="404" t="s">
        <v>846</v>
      </c>
      <c r="P8" s="404" t="s">
        <v>847</v>
      </c>
      <c r="Q8" s="404" t="s">
        <v>677</v>
      </c>
      <c r="R8" s="404" t="s">
        <v>3</v>
      </c>
      <c r="S8" s="404" t="s">
        <v>2387</v>
      </c>
      <c r="T8" s="405" t="s">
        <v>914</v>
      </c>
      <c r="U8" s="404"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4.25" customHeight="1" thickBot="1">
      <c r="A9" s="491">
        <v>1</v>
      </c>
      <c r="B9" s="475" t="s">
        <v>2430</v>
      </c>
      <c r="C9" s="492"/>
      <c r="D9" s="475"/>
      <c r="E9" s="476"/>
      <c r="F9" s="476"/>
      <c r="G9" s="476"/>
      <c r="H9" s="493" t="s">
        <v>2431</v>
      </c>
      <c r="I9" s="493" t="s">
        <v>2393</v>
      </c>
      <c r="J9" s="479"/>
      <c r="K9" s="493" t="s">
        <v>2202</v>
      </c>
      <c r="L9" s="479"/>
      <c r="M9" s="479"/>
      <c r="N9" s="479"/>
      <c r="O9" s="479"/>
      <c r="P9" s="479"/>
      <c r="Q9" s="480" t="s">
        <v>893</v>
      </c>
      <c r="R9" s="482"/>
      <c r="S9" s="482" t="s">
        <v>863</v>
      </c>
      <c r="T9" s="479"/>
      <c r="U9" s="479"/>
      <c r="V9" s="479" t="s">
        <v>864</v>
      </c>
      <c r="W9" s="479" t="s">
        <v>864</v>
      </c>
    </row>
    <row r="10" spans="1:1014" ht="15.75" thickTop="1">
      <c r="A10" s="406">
        <f>SUBTOTAL(103,Tableau35[ID])</f>
        <v>1</v>
      </c>
      <c r="B10" s="406">
        <f>SUBTOTAL(103,Tableau35[Donnée (Niveau 1)])</f>
        <v>1</v>
      </c>
      <c r="C10" s="406">
        <f>SUBTOTAL(103,Tableau35[Donnée (Niveau 2)])</f>
        <v>0</v>
      </c>
      <c r="D10" s="406">
        <f>SUBTOTAL(103,Tableau35[Donnée (Niveau 3)])</f>
        <v>0</v>
      </c>
      <c r="E10" s="406">
        <f>SUBTOTAL(103,Tableau35[Donnée (Niveau 4)])</f>
        <v>0</v>
      </c>
      <c r="F10" s="406">
        <f>SUBTOTAL(103,Tableau35[Donnée (Niveau 5)])</f>
        <v>0</v>
      </c>
      <c r="G10" s="406">
        <f>SUBTOTAL(103,Tableau35[Donnée (Niveau 6)])</f>
        <v>0</v>
      </c>
      <c r="H10" s="406">
        <f>SUBTOTAL(103,Tableau35[Description])</f>
        <v>1</v>
      </c>
      <c r="I10" s="406">
        <f>SUBTOTAL(103,Tableau35[Exemples])</f>
        <v>1</v>
      </c>
      <c r="J10" s="406">
        <f>SUBTOTAL(103,Tableau35[Balise NexSIS])</f>
        <v>0</v>
      </c>
      <c r="K10" s="406">
        <f>SUBTOTAL(103,Tableau35[Nouvelle balise])</f>
        <v>1</v>
      </c>
      <c r="L10" s="406">
        <f>SUBTOTAL(103,Tableau35[Nantes - balise])</f>
        <v>0</v>
      </c>
      <c r="M10" s="406">
        <f>SUBTOTAL(103,Tableau35[Nantes - description])</f>
        <v>0</v>
      </c>
      <c r="N10" s="406">
        <f>SUBTOTAL(103,Tableau35[GT399])</f>
        <v>0</v>
      </c>
      <c r="O10" s="406">
        <f>SUBTOTAL(103,Tableau35[GT399 description])</f>
        <v>0</v>
      </c>
      <c r="P10" s="406">
        <f>SUBTOTAL(103,Tableau35[Priorisation])</f>
        <v>0</v>
      </c>
      <c r="Q10" s="406">
        <f>SUBTOTAL(103,Tableau35[Cardinalité])</f>
        <v>1</v>
      </c>
      <c r="R10" s="406">
        <f>SUBTOTAL(103,Tableau35[Objet])</f>
        <v>0</v>
      </c>
      <c r="S10" s="406">
        <f>SUBTOTAL(103,Tableau35[Format (ou type)])</f>
        <v>1</v>
      </c>
      <c r="T10" s="406">
        <f>SUBTOTAL(103,Tableau35[Nomenclature/ énumération])</f>
        <v>0</v>
      </c>
      <c r="U10" s="406">
        <f>SUBTOTAL(103,Tableau35[Détails de format])</f>
        <v>0</v>
      </c>
      <c r="V10" s="406">
        <f>SUBTOTAL(103,Tableau35[15-18])</f>
        <v>1</v>
      </c>
      <c r="W10" s="406">
        <f>SUBTOTAL(103,Tableau35[15-15])</f>
        <v>1</v>
      </c>
    </row>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{D9BC5B62-631D-4665-BFEA-904E13EB7A7F}</x14:id>
        </ext>
      </extLst>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9BC5B62-631D-4665-BFEA-904E13EB7A7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7B466-F003-4DF3-BC56-413B4090EE7C}">
  <dimension ref="A1:ALZ20"/>
  <sheetViews>
    <sheetView workbookViewId="0">
      <pane xSplit="7" ySplit="8" topLeftCell="H9" activePane="bottomRight" state="frozen"/>
      <selection pane="bottomRight" activeCell="H19" sqref="H19"/>
      <selection pane="bottomLeft"/>
      <selection pane="topRight"/>
    </sheetView>
  </sheetViews>
  <sheetFormatPr defaultColWidth="9" defaultRowHeight="14.25"/>
  <cols>
    <col min="1" max="1" width="4.125" customWidth="1"/>
    <col min="2" max="2" width="18.5" customWidth="1"/>
    <col min="3" max="3" width="30.125" customWidth="1"/>
    <col min="4" max="4" width="15.625" customWidth="1"/>
    <col min="5" max="5" width="9.625" style="57" customWidth="1"/>
    <col min="6" max="7" width="9.625" customWidth="1"/>
    <col min="8" max="8" width="46.5" customWidth="1"/>
    <col min="9" max="9" width="17.625" customWidth="1"/>
    <col min="10" max="10" width="6.125" hidden="1" customWidth="1"/>
    <col min="11" max="11" width="18.625" customWidth="1"/>
    <col min="12" max="16" width="0" hidden="1" customWidth="1"/>
    <col min="17" max="17" width="11.875" customWidth="1"/>
    <col min="20" max="20" width="14.125" bestFit="1" customWidth="1"/>
    <col min="21" max="21" width="12.625" bestFit="1" customWidth="1"/>
    <col min="24" max="30" width="0" hidden="1" customWidth="1"/>
  </cols>
  <sheetData>
    <row r="1" spans="1:1014" ht="14.25" customHeight="1">
      <c r="A1" s="228" t="s">
        <v>2432</v>
      </c>
      <c r="B1" s="128"/>
      <c r="C1" s="129" t="s">
        <v>813</v>
      </c>
      <c r="D1" s="128"/>
      <c r="E1" s="150" t="s">
        <v>814</v>
      </c>
      <c r="F1" s="157"/>
      <c r="G1" s="128"/>
      <c r="H1" s="589"/>
      <c r="I1" s="589"/>
      <c r="J1" s="589"/>
      <c r="K1" s="159"/>
      <c r="L1" s="96"/>
      <c r="M1" s="96"/>
      <c r="N1" s="96"/>
      <c r="O1" s="590" t="s">
        <v>816</v>
      </c>
      <c r="P1" s="590"/>
      <c r="Q1" s="96"/>
      <c r="R1" s="96"/>
      <c r="S1" s="96"/>
      <c r="T1" s="278"/>
      <c r="U1" s="96"/>
      <c r="V1" s="96"/>
      <c r="W1" s="96"/>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D2" s="285"/>
      <c r="E2" s="152" t="s">
        <v>819</v>
      </c>
      <c r="F2" s="157"/>
      <c r="G2" s="128"/>
      <c r="H2" s="589"/>
      <c r="I2" s="589"/>
      <c r="J2" s="589"/>
      <c r="K2" s="159"/>
      <c r="L2" s="96"/>
      <c r="M2" s="96"/>
      <c r="N2" s="96"/>
      <c r="O2" s="96"/>
      <c r="P2" s="173"/>
      <c r="Q2" s="96"/>
      <c r="R2" s="96"/>
      <c r="S2" s="96"/>
      <c r="T2" s="278"/>
      <c r="U2" s="96"/>
      <c r="V2" s="96"/>
      <c r="W2" s="96"/>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96"/>
      <c r="W3" s="96"/>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96"/>
      <c r="W4" s="96"/>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148"/>
      <c r="W5" s="148"/>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96"/>
      <c r="W6" s="96"/>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591" t="s">
        <v>828</v>
      </c>
      <c r="M7" s="591"/>
      <c r="N7" s="591"/>
      <c r="O7" s="591"/>
      <c r="P7" s="173"/>
      <c r="Q7" s="96"/>
      <c r="R7" s="96"/>
      <c r="S7" s="96"/>
      <c r="T7" s="278"/>
      <c r="U7" s="96"/>
      <c r="V7" s="597" t="s">
        <v>829</v>
      </c>
      <c r="W7" s="597"/>
      <c r="Y7" s="179"/>
      <c r="Z7" s="96"/>
      <c r="AA7" s="159"/>
      <c r="AB7" s="96"/>
      <c r="AC7" s="591" t="s">
        <v>830</v>
      </c>
      <c r="AD7" s="591"/>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3" t="s">
        <v>831</v>
      </c>
      <c r="B8" s="279" t="s">
        <v>832</v>
      </c>
      <c r="C8" s="279" t="s">
        <v>833</v>
      </c>
      <c r="D8" s="279" t="s">
        <v>834</v>
      </c>
      <c r="E8" s="279" t="s">
        <v>835</v>
      </c>
      <c r="F8" s="279" t="s">
        <v>836</v>
      </c>
      <c r="G8" s="279" t="s">
        <v>837</v>
      </c>
      <c r="H8" s="404" t="s">
        <v>9</v>
      </c>
      <c r="I8" s="404" t="s">
        <v>838</v>
      </c>
      <c r="J8" s="404" t="s">
        <v>841</v>
      </c>
      <c r="K8" s="404" t="s">
        <v>842</v>
      </c>
      <c r="L8" s="404" t="s">
        <v>843</v>
      </c>
      <c r="M8" s="404" t="s">
        <v>844</v>
      </c>
      <c r="N8" s="404" t="s">
        <v>845</v>
      </c>
      <c r="O8" s="404" t="s">
        <v>846</v>
      </c>
      <c r="P8" s="404" t="s">
        <v>847</v>
      </c>
      <c r="Q8" s="404" t="s">
        <v>677</v>
      </c>
      <c r="R8" s="404" t="s">
        <v>3</v>
      </c>
      <c r="S8" s="404" t="s">
        <v>2387</v>
      </c>
      <c r="T8" s="405" t="s">
        <v>914</v>
      </c>
      <c r="U8" s="404"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5.75" customHeight="1">
      <c r="A9" s="398">
        <v>1</v>
      </c>
      <c r="B9" s="393" t="s">
        <v>1986</v>
      </c>
      <c r="C9" s="393"/>
      <c r="D9" s="393"/>
      <c r="E9" s="397"/>
      <c r="F9" s="397"/>
      <c r="G9" s="397"/>
      <c r="H9" s="317" t="s">
        <v>2433</v>
      </c>
      <c r="I9" s="395"/>
      <c r="K9" s="317" t="s">
        <v>1353</v>
      </c>
      <c r="Q9" s="395" t="s">
        <v>823</v>
      </c>
      <c r="R9" s="224" t="s">
        <v>864</v>
      </c>
      <c r="S9" s="224" t="s">
        <v>1353</v>
      </c>
      <c r="T9" s="457"/>
      <c r="U9" s="224"/>
      <c r="V9" t="s">
        <v>864</v>
      </c>
      <c r="W9" t="s">
        <v>864</v>
      </c>
    </row>
    <row r="10" spans="1:1014" ht="13.5" customHeight="1">
      <c r="A10" s="396">
        <v>2</v>
      </c>
      <c r="B10" s="468"/>
      <c r="C10" s="468" t="s">
        <v>2391</v>
      </c>
      <c r="D10" s="468"/>
      <c r="E10" s="466"/>
      <c r="F10" s="466"/>
      <c r="G10" s="397"/>
      <c r="H10" s="323" t="s">
        <v>2392</v>
      </c>
      <c r="I10" s="323" t="s">
        <v>2393</v>
      </c>
      <c r="K10" s="323" t="s">
        <v>1205</v>
      </c>
      <c r="Q10" s="320" t="s">
        <v>820</v>
      </c>
      <c r="R10" s="224"/>
      <c r="S10" s="224" t="s">
        <v>863</v>
      </c>
      <c r="T10" s="457"/>
      <c r="U10" s="224"/>
      <c r="V10" t="s">
        <v>864</v>
      </c>
      <c r="W10" t="s">
        <v>864</v>
      </c>
    </row>
    <row r="11" spans="1:1014" ht="13.5" customHeight="1">
      <c r="A11" s="398">
        <v>3</v>
      </c>
      <c r="B11" s="393"/>
      <c r="C11" s="393" t="s">
        <v>1937</v>
      </c>
      <c r="D11" s="393"/>
      <c r="E11" s="397"/>
      <c r="F11" s="397"/>
      <c r="G11" s="397"/>
      <c r="H11" s="317" t="s">
        <v>2434</v>
      </c>
      <c r="I11" s="317" t="s">
        <v>2435</v>
      </c>
      <c r="K11" s="317" t="s">
        <v>2436</v>
      </c>
      <c r="Q11" s="320" t="s">
        <v>820</v>
      </c>
      <c r="R11" s="224"/>
      <c r="S11" s="224" t="s">
        <v>863</v>
      </c>
      <c r="T11" s="457"/>
      <c r="U11" s="224"/>
      <c r="V11" t="s">
        <v>864</v>
      </c>
      <c r="W11" t="s">
        <v>864</v>
      </c>
    </row>
    <row r="12" spans="1:1014" ht="13.5" customHeight="1">
      <c r="A12" s="396">
        <v>4</v>
      </c>
      <c r="B12" s="393"/>
      <c r="C12" s="393" t="s">
        <v>2016</v>
      </c>
      <c r="D12" s="393"/>
      <c r="E12" s="397"/>
      <c r="F12" s="397"/>
      <c r="G12" s="397"/>
      <c r="H12" s="323" t="s">
        <v>2437</v>
      </c>
      <c r="I12" s="323" t="s">
        <v>2438</v>
      </c>
      <c r="K12" s="323" t="s">
        <v>871</v>
      </c>
      <c r="Q12" s="333" t="s">
        <v>817</v>
      </c>
      <c r="R12" s="224"/>
      <c r="S12" s="224" t="s">
        <v>863</v>
      </c>
      <c r="T12" s="457"/>
      <c r="U12" s="224"/>
      <c r="V12" t="s">
        <v>864</v>
      </c>
      <c r="W12" t="s">
        <v>864</v>
      </c>
    </row>
    <row r="13" spans="1:1014" ht="13.5" customHeight="1">
      <c r="A13" s="398">
        <v>5</v>
      </c>
      <c r="B13" s="393"/>
      <c r="C13" s="393" t="s">
        <v>2439</v>
      </c>
      <c r="D13" s="393"/>
      <c r="E13" s="397"/>
      <c r="F13" s="397"/>
      <c r="G13" s="397"/>
      <c r="H13" s="317" t="s">
        <v>2440</v>
      </c>
      <c r="I13" s="317" t="s">
        <v>2372</v>
      </c>
      <c r="K13" s="317" t="s">
        <v>958</v>
      </c>
      <c r="Q13" s="325" t="s">
        <v>820</v>
      </c>
      <c r="R13" s="224"/>
      <c r="S13" s="224" t="s">
        <v>863</v>
      </c>
      <c r="T13" s="457" t="s">
        <v>864</v>
      </c>
      <c r="U13" s="224" t="s">
        <v>2441</v>
      </c>
      <c r="V13" t="s">
        <v>864</v>
      </c>
      <c r="W13" t="s">
        <v>864</v>
      </c>
    </row>
    <row r="14" spans="1:1014" ht="13.5" customHeight="1">
      <c r="A14" s="396">
        <v>6</v>
      </c>
      <c r="B14" s="393"/>
      <c r="C14" s="393" t="s">
        <v>2442</v>
      </c>
      <c r="D14" s="393"/>
      <c r="E14" s="397"/>
      <c r="F14" s="397"/>
      <c r="G14" s="397"/>
      <c r="H14" s="323" t="s">
        <v>2443</v>
      </c>
      <c r="I14" s="323" t="s">
        <v>2444</v>
      </c>
      <c r="K14" s="323" t="s">
        <v>2445</v>
      </c>
      <c r="Q14" s="333" t="s">
        <v>817</v>
      </c>
      <c r="R14" s="224"/>
      <c r="S14" s="224" t="s">
        <v>863</v>
      </c>
      <c r="T14" s="457" t="s">
        <v>864</v>
      </c>
      <c r="U14" s="224" t="s">
        <v>2446</v>
      </c>
      <c r="V14" t="s">
        <v>864</v>
      </c>
      <c r="W14" t="s">
        <v>864</v>
      </c>
    </row>
    <row r="15" spans="1:1014" ht="13.5" customHeight="1">
      <c r="A15" s="398">
        <v>7</v>
      </c>
      <c r="B15" s="393"/>
      <c r="C15" s="393" t="s">
        <v>2447</v>
      </c>
      <c r="D15" s="393"/>
      <c r="E15" s="397"/>
      <c r="F15" s="397"/>
      <c r="G15" s="397"/>
      <c r="H15" s="317" t="s">
        <v>2448</v>
      </c>
      <c r="I15" s="317" t="s">
        <v>2449</v>
      </c>
      <c r="K15" s="317" t="s">
        <v>2450</v>
      </c>
      <c r="Q15" s="333" t="s">
        <v>817</v>
      </c>
      <c r="R15" s="224"/>
      <c r="S15" s="224" t="s">
        <v>863</v>
      </c>
      <c r="T15" s="457" t="s">
        <v>864</v>
      </c>
      <c r="U15" s="224" t="s">
        <v>2451</v>
      </c>
      <c r="V15" t="s">
        <v>864</v>
      </c>
      <c r="W15" t="s">
        <v>864</v>
      </c>
    </row>
    <row r="16" spans="1:1014" ht="13.5" customHeight="1">
      <c r="A16" s="396">
        <v>8</v>
      </c>
      <c r="B16" s="393"/>
      <c r="C16" s="393" t="s">
        <v>2001</v>
      </c>
      <c r="D16" s="393"/>
      <c r="E16" s="397"/>
      <c r="F16" s="397"/>
      <c r="G16" s="397"/>
      <c r="H16" s="323" t="s">
        <v>2452</v>
      </c>
      <c r="I16" s="323" t="s">
        <v>2453</v>
      </c>
      <c r="K16" s="323" t="s">
        <v>2454</v>
      </c>
      <c r="Q16" s="333" t="s">
        <v>817</v>
      </c>
      <c r="R16" s="224"/>
      <c r="S16" s="224" t="s">
        <v>863</v>
      </c>
      <c r="T16" s="457" t="s">
        <v>864</v>
      </c>
      <c r="U16" s="224" t="s">
        <v>2455</v>
      </c>
      <c r="V16" t="s">
        <v>864</v>
      </c>
      <c r="W16" t="s">
        <v>864</v>
      </c>
    </row>
    <row r="17" spans="1:23" ht="13.5" customHeight="1">
      <c r="A17" s="398">
        <v>9</v>
      </c>
      <c r="B17" s="393"/>
      <c r="C17" s="393" t="s">
        <v>2062</v>
      </c>
      <c r="D17" s="393"/>
      <c r="E17" s="397"/>
      <c r="F17" s="397"/>
      <c r="G17" s="397"/>
      <c r="H17" s="399" t="s">
        <v>2063</v>
      </c>
      <c r="I17" s="394"/>
      <c r="K17" s="317" t="s">
        <v>2456</v>
      </c>
      <c r="Q17" s="395" t="s">
        <v>823</v>
      </c>
      <c r="R17" s="224" t="s">
        <v>864</v>
      </c>
      <c r="S17" s="224" t="s">
        <v>1251</v>
      </c>
      <c r="T17" s="457"/>
      <c r="U17" s="224"/>
      <c r="V17" t="s">
        <v>864</v>
      </c>
      <c r="W17" t="s">
        <v>864</v>
      </c>
    </row>
    <row r="18" spans="1:23" ht="13.5" customHeight="1">
      <c r="A18" s="471">
        <v>10</v>
      </c>
      <c r="B18" s="469"/>
      <c r="C18" s="469"/>
      <c r="D18" s="469" t="s">
        <v>2066</v>
      </c>
      <c r="E18" s="467"/>
      <c r="F18" s="467"/>
      <c r="G18" s="467"/>
      <c r="H18" s="472" t="s">
        <v>2457</v>
      </c>
      <c r="I18" s="472" t="s">
        <v>1255</v>
      </c>
      <c r="K18" s="472" t="s">
        <v>958</v>
      </c>
      <c r="Q18" s="473" t="s">
        <v>817</v>
      </c>
      <c r="R18" s="224"/>
      <c r="S18" s="508" t="s">
        <v>863</v>
      </c>
      <c r="T18" s="457" t="s">
        <v>864</v>
      </c>
      <c r="U18" s="224" t="s">
        <v>2458</v>
      </c>
      <c r="V18" t="s">
        <v>864</v>
      </c>
      <c r="W18" t="s">
        <v>864</v>
      </c>
    </row>
    <row r="19" spans="1:23" ht="13.5" customHeight="1" thickBot="1">
      <c r="A19" s="474">
        <v>11</v>
      </c>
      <c r="B19" s="475"/>
      <c r="C19" s="475"/>
      <c r="D19" s="475" t="s">
        <v>2069</v>
      </c>
      <c r="E19" s="476"/>
      <c r="F19" s="476"/>
      <c r="G19" s="476"/>
      <c r="H19" s="477" t="s">
        <v>2459</v>
      </c>
      <c r="I19" s="478" t="s">
        <v>2460</v>
      </c>
      <c r="J19" s="479"/>
      <c r="K19" s="477" t="s">
        <v>997</v>
      </c>
      <c r="L19" s="479"/>
      <c r="M19" s="479"/>
      <c r="N19" s="479"/>
      <c r="O19" s="479"/>
      <c r="P19" s="479"/>
      <c r="Q19" s="480" t="s">
        <v>817</v>
      </c>
      <c r="R19" s="482"/>
      <c r="S19" s="509" t="s">
        <v>863</v>
      </c>
      <c r="T19" s="481"/>
      <c r="U19" s="482"/>
      <c r="V19" s="479" t="s">
        <v>864</v>
      </c>
      <c r="W19" s="479" t="s">
        <v>864</v>
      </c>
    </row>
    <row r="20" spans="1:23" ht="15.75" thickTop="1">
      <c r="A20" s="406">
        <f>SUBTOTAL(103,Tableau357[ID])</f>
        <v>11</v>
      </c>
      <c r="B20" s="406">
        <f>SUBTOTAL(103,Tableau357[Donnée (Niveau 1)])</f>
        <v>1</v>
      </c>
      <c r="C20" s="406">
        <f>SUBTOTAL(103,Tableau357[Donnée (Niveau 2)])</f>
        <v>8</v>
      </c>
      <c r="D20" s="406">
        <f>SUBTOTAL(103,Tableau357[Donnée (Niveau 3)])</f>
        <v>2</v>
      </c>
      <c r="E20" s="406">
        <f>SUBTOTAL(103,Tableau357[Donnée (Niveau 4)])</f>
        <v>0</v>
      </c>
      <c r="F20" s="406">
        <f>SUBTOTAL(103,Tableau357[Donnée (Niveau 5)])</f>
        <v>0</v>
      </c>
      <c r="G20" s="406">
        <f>SUBTOTAL(103,Tableau357[Donnée (Niveau 6)])</f>
        <v>0</v>
      </c>
      <c r="H20" s="406">
        <f>SUBTOTAL(103,Tableau357[Description])</f>
        <v>11</v>
      </c>
      <c r="I20" s="406">
        <f>SUBTOTAL(103,Tableau357[Exemples])</f>
        <v>9</v>
      </c>
      <c r="J20" s="406">
        <f>SUBTOTAL(103,Tableau357[Balise NexSIS])</f>
        <v>0</v>
      </c>
      <c r="K20" s="406">
        <f>SUBTOTAL(103,Tableau357[Nouvelle balise])</f>
        <v>11</v>
      </c>
      <c r="L20" s="406">
        <f>SUBTOTAL(103,Tableau357[Nantes - balise])</f>
        <v>0</v>
      </c>
      <c r="M20" s="406">
        <f>SUBTOTAL(103,Tableau357[Nantes - description])</f>
        <v>0</v>
      </c>
      <c r="N20" s="406">
        <f>SUBTOTAL(103,Tableau357[GT399])</f>
        <v>0</v>
      </c>
      <c r="O20" s="406">
        <f>SUBTOTAL(103,Tableau357[GT399 description])</f>
        <v>0</v>
      </c>
      <c r="P20" s="406">
        <f>SUBTOTAL(103,Tableau357[Priorisation])</f>
        <v>0</v>
      </c>
      <c r="Q20" s="406">
        <f>SUBTOTAL(103,Tableau357[Cardinalité])</f>
        <v>11</v>
      </c>
      <c r="R20" s="406">
        <f>SUBTOTAL(103,Tableau357[Objet])</f>
        <v>2</v>
      </c>
      <c r="S20" s="406">
        <f>SUBTOTAL(103,Tableau357[Format (ou type)])</f>
        <v>11</v>
      </c>
      <c r="T20" s="406">
        <f>SUBTOTAL(103,Tableau357[Nomenclature/ énumération])</f>
        <v>5</v>
      </c>
      <c r="U20" s="406">
        <f>SUBTOTAL(103,Tableau357[Détails de format])</f>
        <v>5</v>
      </c>
      <c r="V20" s="406">
        <f>SUBTOTAL(103,Tableau357[15-18])</f>
        <v>11</v>
      </c>
      <c r="W20" s="406">
        <f>SUBTOTAL(103,Tableau357[15-15])</f>
        <v>11</v>
      </c>
    </row>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{78B0E8FF-A598-4F80-B839-07E1ECFD6E29}</x14:id>
        </ext>
      </extLst>
    </cfRule>
  </conditionalFormatting>
  <pageMargins left="0.7" right="0.7" top="0.75" bottom="0.75" header="0.3" footer="0.3"/>
  <pageSetup paperSize="9" orientation="portrait" horizontalDpi="1200" verticalDpi="1200"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78B0E8FF-A598-4F80-B839-07E1ECFD6E2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5E588-7270-4C20-8558-83738646492C}">
  <dimension ref="A1:ALZ19"/>
  <sheetViews>
    <sheetView tabSelected="1" workbookViewId="0">
      <pane xSplit="7" ySplit="8" topLeftCell="H9" activePane="bottomRight" state="frozen"/>
      <selection pane="bottomRight"/>
      <selection pane="bottomLeft"/>
      <selection pane="topRight"/>
    </sheetView>
  </sheetViews>
  <sheetFormatPr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1" bestFit="1" customWidth="1"/>
    <col min="11" max="11" width="12.5" customWidth="1"/>
    <col min="12" max="16" width="2" customWidth="1"/>
    <col min="17" max="17" width="11" bestFit="1" customWidth="1"/>
    <col min="20" max="20" width="7.375" customWidth="1"/>
    <col min="21" max="21" width="11" bestFit="1" customWidth="1"/>
    <col min="24" max="30" width="9" customWidth="1"/>
  </cols>
  <sheetData>
    <row r="1" spans="1:1014" ht="14.25" customHeight="1">
      <c r="A1" s="272" t="s">
        <v>2461</v>
      </c>
      <c r="B1" s="272"/>
      <c r="C1" s="129" t="s">
        <v>813</v>
      </c>
      <c r="D1" s="128"/>
      <c r="E1" s="604" t="s">
        <v>814</v>
      </c>
      <c r="F1" s="604"/>
      <c r="G1" s="128"/>
      <c r="H1" s="593" t="s">
        <v>1620</v>
      </c>
      <c r="I1" s="593"/>
      <c r="J1" s="593"/>
      <c r="K1" s="96"/>
      <c r="L1" s="96"/>
      <c r="M1" s="96"/>
      <c r="N1" s="96"/>
      <c r="O1" s="605" t="s">
        <v>816</v>
      </c>
      <c r="P1" s="605"/>
      <c r="Q1" s="96"/>
      <c r="R1" s="96"/>
      <c r="S1" s="96"/>
      <c r="T1" s="96"/>
      <c r="U1" s="96"/>
      <c r="V1" s="96"/>
      <c r="W1" s="96"/>
      <c r="Y1" s="96"/>
      <c r="Z1" s="96"/>
      <c r="AA1" s="96"/>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5">
      <c r="A2" s="128"/>
      <c r="B2" s="128"/>
      <c r="C2" s="296" t="s">
        <v>818</v>
      </c>
      <c r="D2" s="128"/>
      <c r="E2" s="603" t="s">
        <v>819</v>
      </c>
      <c r="F2" s="603"/>
      <c r="G2" s="128"/>
      <c r="H2" s="593"/>
      <c r="I2" s="593"/>
      <c r="J2" s="593"/>
      <c r="K2" s="96"/>
      <c r="L2" s="96"/>
      <c r="M2" s="96"/>
      <c r="N2" s="96"/>
      <c r="O2" s="96"/>
      <c r="P2" s="96"/>
      <c r="Q2" s="96"/>
      <c r="R2" s="96"/>
      <c r="S2" s="96"/>
      <c r="T2" s="96"/>
      <c r="U2" s="96"/>
      <c r="V2" s="96"/>
      <c r="W2" s="96"/>
      <c r="Y2" s="96"/>
      <c r="Z2" s="96"/>
      <c r="AA2" s="96"/>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298" t="s">
        <v>821</v>
      </c>
      <c r="D3" s="128"/>
      <c r="E3" s="602" t="s">
        <v>822</v>
      </c>
      <c r="F3" s="602"/>
      <c r="G3" s="128"/>
      <c r="H3" s="96"/>
      <c r="I3" s="5"/>
      <c r="J3" s="96"/>
      <c r="K3" s="96"/>
      <c r="L3" s="96"/>
      <c r="M3" s="96"/>
      <c r="N3" s="96"/>
      <c r="O3" s="96"/>
      <c r="P3" s="96"/>
      <c r="Q3" s="96"/>
      <c r="R3" s="96"/>
      <c r="S3" s="96"/>
      <c r="T3" s="96"/>
      <c r="U3" s="96"/>
      <c r="V3" s="96"/>
      <c r="W3" s="96"/>
      <c r="Y3" s="96"/>
      <c r="Z3" s="96"/>
      <c r="AA3" s="96"/>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300" t="s">
        <v>824</v>
      </c>
      <c r="D4" s="128"/>
      <c r="E4" s="600" t="s">
        <v>825</v>
      </c>
      <c r="F4" s="601"/>
      <c r="G4" s="137" t="s">
        <v>1620</v>
      </c>
      <c r="H4" s="96"/>
      <c r="I4" s="5"/>
      <c r="J4" s="96"/>
      <c r="K4" s="96"/>
      <c r="L4" s="96"/>
      <c r="M4" s="96"/>
      <c r="N4" s="96"/>
      <c r="O4" s="96"/>
      <c r="P4" s="96"/>
      <c r="Q4" s="96"/>
      <c r="R4" s="96"/>
      <c r="S4" s="96"/>
      <c r="T4" s="96"/>
      <c r="U4" s="96"/>
      <c r="V4" s="96"/>
      <c r="W4" s="96"/>
      <c r="Y4" s="96"/>
      <c r="Z4" s="96"/>
      <c r="AA4" s="96"/>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t="s">
        <v>1620</v>
      </c>
      <c r="E5" s="598" t="s">
        <v>912</v>
      </c>
      <c r="F5" s="599"/>
      <c r="G5" s="148"/>
      <c r="H5" s="148"/>
      <c r="I5" s="409"/>
      <c r="J5" s="148"/>
      <c r="K5" s="148"/>
      <c r="L5" s="148"/>
      <c r="M5" s="148"/>
      <c r="N5" s="148"/>
      <c r="O5" s="148"/>
      <c r="P5" s="148"/>
      <c r="Q5" s="148"/>
      <c r="R5" s="148"/>
      <c r="S5" s="148"/>
      <c r="T5" s="148"/>
      <c r="U5" s="148"/>
      <c r="V5" s="148"/>
      <c r="W5" s="148"/>
      <c r="Y5" s="148"/>
      <c r="Z5" s="148"/>
      <c r="AA5" s="148"/>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5">
      <c r="A6" s="128"/>
      <c r="B6" s="128"/>
      <c r="C6" s="303" t="s">
        <v>827</v>
      </c>
      <c r="D6" s="138" t="s">
        <v>1620</v>
      </c>
      <c r="E6" s="128"/>
      <c r="F6" s="138" t="s">
        <v>1620</v>
      </c>
      <c r="G6" s="96"/>
      <c r="H6" s="96"/>
      <c r="I6" s="5"/>
      <c r="J6" s="96"/>
      <c r="K6" s="96"/>
      <c r="L6" s="96"/>
      <c r="M6" s="96"/>
      <c r="N6" s="96"/>
      <c r="O6" s="96"/>
      <c r="P6" s="96"/>
      <c r="Q6" s="96"/>
      <c r="R6" s="96"/>
      <c r="S6" s="96"/>
      <c r="T6" s="96"/>
      <c r="U6" s="96"/>
      <c r="V6" s="96"/>
      <c r="W6" s="96"/>
      <c r="Y6" s="96"/>
      <c r="Z6" s="96"/>
      <c r="AA6" s="96"/>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t="s">
        <v>1620</v>
      </c>
      <c r="D7" s="410" t="s">
        <v>1620</v>
      </c>
      <c r="E7" s="304" t="s">
        <v>1620</v>
      </c>
      <c r="F7" s="304" t="s">
        <v>1620</v>
      </c>
      <c r="G7" s="96"/>
      <c r="H7" s="96"/>
      <c r="I7" s="5"/>
      <c r="J7" s="96"/>
      <c r="K7" s="96"/>
      <c r="L7" s="594" t="s">
        <v>828</v>
      </c>
      <c r="M7" s="594"/>
      <c r="N7" s="594"/>
      <c r="O7" s="594"/>
      <c r="P7" s="96"/>
      <c r="Q7" s="96"/>
      <c r="R7" s="96"/>
      <c r="S7" s="96"/>
      <c r="T7" s="96"/>
      <c r="U7" s="96"/>
      <c r="V7" s="606" t="s">
        <v>829</v>
      </c>
      <c r="W7" s="606"/>
      <c r="Y7" s="96"/>
      <c r="Z7" s="96"/>
      <c r="AA7" s="96"/>
      <c r="AB7" s="96"/>
      <c r="AC7" s="594" t="s">
        <v>830</v>
      </c>
      <c r="AD7" s="594"/>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s="446" customFormat="1" ht="27.75" customHeight="1">
      <c r="A8" s="438" t="s">
        <v>831</v>
      </c>
      <c r="B8" s="439" t="s">
        <v>832</v>
      </c>
      <c r="C8" s="439" t="s">
        <v>833</v>
      </c>
      <c r="D8" s="439" t="s">
        <v>834</v>
      </c>
      <c r="E8" s="439" t="s">
        <v>835</v>
      </c>
      <c r="F8" s="439" t="s">
        <v>836</v>
      </c>
      <c r="G8" s="439" t="s">
        <v>837</v>
      </c>
      <c r="H8" s="437" t="s">
        <v>9</v>
      </c>
      <c r="I8" s="437" t="s">
        <v>838</v>
      </c>
      <c r="J8" s="437" t="s">
        <v>841</v>
      </c>
      <c r="K8" s="437" t="s">
        <v>842</v>
      </c>
      <c r="L8" s="437" t="s">
        <v>843</v>
      </c>
      <c r="M8" s="437" t="s">
        <v>844</v>
      </c>
      <c r="N8" s="437" t="s">
        <v>845</v>
      </c>
      <c r="O8" s="437" t="s">
        <v>846</v>
      </c>
      <c r="P8" s="437" t="s">
        <v>847</v>
      </c>
      <c r="Q8" s="437" t="s">
        <v>677</v>
      </c>
      <c r="R8" s="437" t="s">
        <v>3</v>
      </c>
      <c r="S8" s="437" t="s">
        <v>2462</v>
      </c>
      <c r="T8" s="437" t="s">
        <v>914</v>
      </c>
      <c r="U8" s="437" t="s">
        <v>849</v>
      </c>
      <c r="V8" s="440" t="s">
        <v>850</v>
      </c>
      <c r="W8" s="440" t="s">
        <v>851</v>
      </c>
      <c r="X8" s="441" t="s">
        <v>852</v>
      </c>
      <c r="Y8" s="442" t="s">
        <v>853</v>
      </c>
      <c r="Z8" s="442" t="s">
        <v>854</v>
      </c>
      <c r="AA8" s="443" t="s">
        <v>855</v>
      </c>
      <c r="AB8" s="442" t="s">
        <v>856</v>
      </c>
      <c r="AC8" s="442" t="s">
        <v>857</v>
      </c>
      <c r="AD8" s="444" t="s">
        <v>915</v>
      </c>
      <c r="AE8" s="445"/>
      <c r="AF8" s="445"/>
      <c r="AG8" s="445"/>
      <c r="AH8" s="445"/>
      <c r="AI8" s="445"/>
      <c r="AJ8" s="445"/>
      <c r="AK8" s="445"/>
      <c r="AL8" s="445"/>
      <c r="AM8" s="445"/>
      <c r="AN8" s="445"/>
      <c r="AO8" s="445"/>
      <c r="AP8" s="445"/>
      <c r="AQ8" s="445"/>
      <c r="AR8" s="445"/>
      <c r="AS8" s="445"/>
      <c r="AT8" s="445"/>
      <c r="AU8" s="445"/>
      <c r="AV8" s="445"/>
      <c r="AW8" s="445"/>
      <c r="AX8" s="445"/>
      <c r="AY8" s="445"/>
      <c r="AZ8" s="445"/>
      <c r="BA8" s="445"/>
      <c r="BB8" s="445"/>
      <c r="BC8" s="445"/>
      <c r="BD8" s="445"/>
      <c r="BE8" s="445"/>
      <c r="BF8" s="445"/>
      <c r="BG8" s="445"/>
      <c r="BH8" s="445"/>
      <c r="BI8" s="445"/>
      <c r="BJ8" s="445"/>
      <c r="BK8" s="445"/>
      <c r="BL8" s="445"/>
      <c r="BM8" s="445"/>
      <c r="BN8" s="445"/>
      <c r="BO8" s="445"/>
      <c r="BP8" s="445"/>
      <c r="BQ8" s="445"/>
      <c r="BR8" s="445"/>
      <c r="BS8" s="445"/>
      <c r="BT8" s="445"/>
      <c r="BU8" s="445"/>
      <c r="BV8" s="445"/>
      <c r="BW8" s="445"/>
      <c r="BX8" s="445"/>
      <c r="BY8" s="445"/>
      <c r="BZ8" s="445"/>
      <c r="CA8" s="445"/>
      <c r="CB8" s="445"/>
      <c r="CC8" s="445"/>
      <c r="CD8" s="445"/>
      <c r="CE8" s="445"/>
      <c r="CF8" s="445"/>
      <c r="CG8" s="445"/>
      <c r="CH8" s="445"/>
      <c r="CI8" s="445"/>
      <c r="CJ8" s="445"/>
      <c r="CK8" s="445"/>
      <c r="CL8" s="445"/>
      <c r="CM8" s="445"/>
      <c r="CN8" s="445"/>
      <c r="CO8" s="445"/>
      <c r="CP8" s="445"/>
      <c r="CQ8" s="445"/>
      <c r="CR8" s="445"/>
      <c r="CS8" s="445"/>
      <c r="CT8" s="445"/>
      <c r="CU8" s="445"/>
      <c r="CV8" s="445"/>
      <c r="CW8" s="445"/>
      <c r="CX8" s="445"/>
      <c r="CY8" s="445"/>
      <c r="CZ8" s="445"/>
      <c r="DA8" s="445"/>
      <c r="DB8" s="445"/>
      <c r="DC8" s="445"/>
      <c r="DD8" s="445"/>
      <c r="DE8" s="445"/>
      <c r="DF8" s="445"/>
      <c r="DG8" s="445"/>
      <c r="DH8" s="445"/>
      <c r="DI8" s="445"/>
      <c r="DJ8" s="445"/>
      <c r="DK8" s="445"/>
      <c r="DL8" s="445"/>
      <c r="DM8" s="445"/>
      <c r="DN8" s="445"/>
      <c r="DO8" s="445"/>
      <c r="DP8" s="445"/>
      <c r="DQ8" s="445"/>
      <c r="DR8" s="445"/>
      <c r="DS8" s="445"/>
      <c r="DT8" s="445"/>
      <c r="DU8" s="445"/>
      <c r="DV8" s="445"/>
      <c r="DW8" s="445"/>
      <c r="DX8" s="445"/>
      <c r="DY8" s="445"/>
      <c r="DZ8" s="445"/>
      <c r="EA8" s="445"/>
      <c r="EB8" s="445"/>
      <c r="EC8" s="445"/>
      <c r="ED8" s="445"/>
      <c r="EE8" s="445"/>
      <c r="EF8" s="445"/>
      <c r="EG8" s="445"/>
      <c r="EH8" s="445"/>
      <c r="EI8" s="445"/>
      <c r="EJ8" s="445"/>
      <c r="EK8" s="445"/>
      <c r="EL8" s="445"/>
      <c r="EM8" s="445"/>
      <c r="EN8" s="445"/>
      <c r="EO8" s="445"/>
      <c r="EP8" s="445"/>
      <c r="EQ8" s="445"/>
      <c r="ER8" s="445"/>
      <c r="ES8" s="445"/>
      <c r="ET8" s="445"/>
      <c r="EU8" s="445"/>
      <c r="EV8" s="445"/>
      <c r="EW8" s="445"/>
      <c r="EX8" s="445"/>
      <c r="EY8" s="445"/>
      <c r="EZ8" s="445"/>
      <c r="FA8" s="445"/>
      <c r="FB8" s="445"/>
      <c r="FC8" s="445"/>
      <c r="FD8" s="445"/>
      <c r="FE8" s="445"/>
      <c r="FF8" s="445"/>
      <c r="FG8" s="445"/>
      <c r="FH8" s="445"/>
      <c r="FI8" s="445"/>
      <c r="FJ8" s="445"/>
      <c r="FK8" s="445"/>
      <c r="FL8" s="445"/>
      <c r="FM8" s="445"/>
      <c r="FN8" s="445"/>
      <c r="FO8" s="445"/>
      <c r="FP8" s="445"/>
      <c r="FQ8" s="445"/>
      <c r="FR8" s="445"/>
      <c r="FS8" s="445"/>
      <c r="FT8" s="445"/>
      <c r="FU8" s="445"/>
      <c r="FV8" s="445"/>
      <c r="FW8" s="445"/>
      <c r="FX8" s="445"/>
      <c r="FY8" s="445"/>
      <c r="FZ8" s="445"/>
      <c r="GA8" s="445"/>
      <c r="GB8" s="445"/>
      <c r="GC8" s="445"/>
      <c r="GD8" s="445"/>
      <c r="GE8" s="445"/>
      <c r="GF8" s="445"/>
      <c r="GG8" s="445"/>
      <c r="GH8" s="445"/>
      <c r="GI8" s="445"/>
      <c r="GJ8" s="445"/>
      <c r="GK8" s="445"/>
      <c r="GL8" s="445"/>
      <c r="GM8" s="445"/>
      <c r="GN8" s="445"/>
      <c r="GO8" s="445"/>
      <c r="GP8" s="445"/>
      <c r="GQ8" s="445"/>
      <c r="GR8" s="445"/>
      <c r="GS8" s="445"/>
      <c r="GT8" s="445"/>
      <c r="GU8" s="445"/>
      <c r="GV8" s="445"/>
      <c r="GW8" s="445"/>
      <c r="GX8" s="445"/>
      <c r="GY8" s="445"/>
      <c r="GZ8" s="445"/>
      <c r="HA8" s="445"/>
      <c r="HB8" s="445"/>
      <c r="HC8" s="445"/>
      <c r="HD8" s="445"/>
      <c r="HE8" s="445"/>
      <c r="HF8" s="445"/>
      <c r="HG8" s="445"/>
      <c r="HH8" s="445"/>
      <c r="HI8" s="445"/>
      <c r="HJ8" s="445"/>
      <c r="HK8" s="445"/>
      <c r="HL8" s="445"/>
      <c r="HM8" s="445"/>
      <c r="HN8" s="445"/>
      <c r="HO8" s="445"/>
      <c r="HP8" s="445"/>
      <c r="HQ8" s="445"/>
      <c r="HR8" s="445"/>
      <c r="HS8" s="445"/>
      <c r="HT8" s="445"/>
      <c r="HU8" s="445"/>
      <c r="HV8" s="445"/>
      <c r="HW8" s="445"/>
      <c r="HX8" s="445"/>
      <c r="HY8" s="445"/>
      <c r="HZ8" s="445"/>
      <c r="IA8" s="445"/>
      <c r="IB8" s="445"/>
      <c r="IC8" s="445"/>
      <c r="ID8" s="445"/>
      <c r="IE8" s="445"/>
      <c r="IF8" s="445"/>
      <c r="IG8" s="445"/>
      <c r="IH8" s="445"/>
      <c r="II8" s="445"/>
      <c r="IJ8" s="445"/>
      <c r="IK8" s="445"/>
      <c r="IL8" s="445"/>
      <c r="IM8" s="445"/>
      <c r="IN8" s="445"/>
      <c r="IO8" s="445"/>
      <c r="IP8" s="445"/>
      <c r="IQ8" s="445"/>
      <c r="IR8" s="445"/>
      <c r="IS8" s="445"/>
      <c r="IT8" s="445"/>
      <c r="IU8" s="445"/>
      <c r="IV8" s="445"/>
      <c r="IW8" s="445"/>
      <c r="IX8" s="445"/>
      <c r="IY8" s="445"/>
      <c r="IZ8" s="445"/>
      <c r="JA8" s="445"/>
      <c r="JB8" s="445"/>
      <c r="JC8" s="445"/>
      <c r="JD8" s="445"/>
      <c r="JE8" s="445"/>
      <c r="JF8" s="445"/>
      <c r="JG8" s="445"/>
      <c r="JH8" s="445"/>
      <c r="JI8" s="445"/>
      <c r="JJ8" s="445"/>
      <c r="JK8" s="445"/>
      <c r="JL8" s="445"/>
      <c r="JM8" s="445"/>
      <c r="JN8" s="445"/>
      <c r="JO8" s="445"/>
      <c r="JP8" s="445"/>
      <c r="JQ8" s="445"/>
      <c r="JR8" s="445"/>
      <c r="JS8" s="445"/>
      <c r="JT8" s="445"/>
      <c r="JU8" s="445"/>
      <c r="JV8" s="445"/>
      <c r="JW8" s="445"/>
      <c r="JX8" s="445"/>
      <c r="JY8" s="445"/>
      <c r="JZ8" s="445"/>
      <c r="KA8" s="445"/>
      <c r="KB8" s="445"/>
      <c r="KC8" s="445"/>
      <c r="KD8" s="445"/>
      <c r="KE8" s="445"/>
      <c r="KF8" s="445"/>
      <c r="KG8" s="445"/>
      <c r="KH8" s="445"/>
      <c r="KI8" s="445"/>
      <c r="KJ8" s="445"/>
      <c r="KK8" s="445"/>
      <c r="KL8" s="445"/>
      <c r="KM8" s="445"/>
      <c r="KN8" s="445"/>
      <c r="KO8" s="445"/>
      <c r="KP8" s="445"/>
      <c r="KQ8" s="445"/>
      <c r="KR8" s="445"/>
      <c r="KS8" s="445"/>
      <c r="KT8" s="445"/>
      <c r="KU8" s="445"/>
      <c r="KV8" s="445"/>
      <c r="KW8" s="445"/>
      <c r="KX8" s="445"/>
      <c r="KY8" s="445"/>
      <c r="KZ8" s="445"/>
      <c r="LA8" s="445"/>
      <c r="LB8" s="445"/>
      <c r="LC8" s="445"/>
      <c r="LD8" s="445"/>
      <c r="LE8" s="445"/>
      <c r="LF8" s="445"/>
      <c r="LG8" s="445"/>
      <c r="LH8" s="445"/>
      <c r="LI8" s="445"/>
      <c r="LJ8" s="445"/>
      <c r="LK8" s="445"/>
      <c r="LL8" s="445"/>
      <c r="LM8" s="445"/>
      <c r="LN8" s="445"/>
      <c r="LO8" s="445"/>
      <c r="LP8" s="445"/>
      <c r="LQ8" s="445"/>
      <c r="LR8" s="445"/>
      <c r="LS8" s="445"/>
      <c r="LT8" s="445"/>
      <c r="LU8" s="445"/>
      <c r="LV8" s="445"/>
      <c r="LW8" s="445"/>
      <c r="LX8" s="445"/>
      <c r="LY8" s="445"/>
      <c r="LZ8" s="445"/>
      <c r="MA8" s="445"/>
      <c r="MB8" s="445"/>
      <c r="MC8" s="445"/>
      <c r="MD8" s="445"/>
      <c r="ME8" s="445"/>
      <c r="MF8" s="445"/>
      <c r="MG8" s="445"/>
      <c r="MH8" s="445"/>
      <c r="MI8" s="445"/>
      <c r="MJ8" s="445"/>
      <c r="MK8" s="445"/>
      <c r="ML8" s="445"/>
      <c r="MM8" s="445"/>
      <c r="MN8" s="445"/>
      <c r="MO8" s="445"/>
      <c r="MP8" s="445"/>
      <c r="MQ8" s="445"/>
      <c r="MR8" s="445"/>
      <c r="MS8" s="445"/>
      <c r="MT8" s="445"/>
      <c r="MU8" s="445"/>
      <c r="MV8" s="445"/>
      <c r="MW8" s="445"/>
      <c r="MX8" s="445"/>
      <c r="MY8" s="445"/>
      <c r="MZ8" s="445"/>
      <c r="NA8" s="445"/>
      <c r="NB8" s="445"/>
      <c r="NC8" s="445"/>
      <c r="ND8" s="445"/>
      <c r="NE8" s="445"/>
      <c r="NF8" s="445"/>
      <c r="NG8" s="445"/>
      <c r="NH8" s="445"/>
      <c r="NI8" s="445"/>
      <c r="NJ8" s="445"/>
      <c r="NK8" s="445"/>
      <c r="NL8" s="445"/>
      <c r="NM8" s="445"/>
      <c r="NN8" s="445"/>
      <c r="NO8" s="445"/>
      <c r="NP8" s="445"/>
      <c r="NQ8" s="445"/>
      <c r="NR8" s="445"/>
      <c r="NS8" s="445"/>
      <c r="NT8" s="445"/>
      <c r="NU8" s="445"/>
      <c r="NV8" s="445"/>
      <c r="NW8" s="445"/>
      <c r="NX8" s="445"/>
      <c r="NY8" s="445"/>
      <c r="NZ8" s="445"/>
      <c r="OA8" s="445"/>
      <c r="OB8" s="445"/>
      <c r="OC8" s="445"/>
      <c r="OD8" s="445"/>
      <c r="OE8" s="445"/>
      <c r="OF8" s="445"/>
      <c r="OG8" s="445"/>
      <c r="OH8" s="445"/>
      <c r="OI8" s="445"/>
      <c r="OJ8" s="445"/>
      <c r="OK8" s="445"/>
      <c r="OL8" s="445"/>
      <c r="OM8" s="445"/>
      <c r="ON8" s="445"/>
      <c r="OO8" s="445"/>
      <c r="OP8" s="445"/>
      <c r="OQ8" s="445"/>
      <c r="OR8" s="445"/>
      <c r="OS8" s="445"/>
      <c r="OT8" s="445"/>
      <c r="OU8" s="445"/>
      <c r="OV8" s="445"/>
      <c r="OW8" s="445"/>
      <c r="OX8" s="445"/>
      <c r="OY8" s="445"/>
      <c r="OZ8" s="445"/>
      <c r="PA8" s="445"/>
      <c r="PB8" s="445"/>
      <c r="PC8" s="445"/>
      <c r="PD8" s="445"/>
      <c r="PE8" s="445"/>
      <c r="PF8" s="445"/>
      <c r="PG8" s="445"/>
      <c r="PH8" s="445"/>
      <c r="PI8" s="445"/>
      <c r="PJ8" s="445"/>
      <c r="PK8" s="445"/>
      <c r="PL8" s="445"/>
      <c r="PM8" s="445"/>
      <c r="PN8" s="445"/>
      <c r="PO8" s="445"/>
      <c r="PP8" s="445"/>
      <c r="PQ8" s="445"/>
      <c r="PR8" s="445"/>
      <c r="PS8" s="445"/>
      <c r="PT8" s="445"/>
      <c r="PU8" s="445"/>
      <c r="PV8" s="445"/>
      <c r="PW8" s="445"/>
      <c r="PX8" s="445"/>
      <c r="PY8" s="445"/>
      <c r="PZ8" s="445"/>
      <c r="QA8" s="445"/>
      <c r="QB8" s="445"/>
      <c r="QC8" s="445"/>
      <c r="QD8" s="445"/>
      <c r="QE8" s="445"/>
      <c r="QF8" s="445"/>
      <c r="QG8" s="445"/>
      <c r="QH8" s="445"/>
      <c r="QI8" s="445"/>
      <c r="QJ8" s="445"/>
      <c r="QK8" s="445"/>
      <c r="QL8" s="445"/>
      <c r="QM8" s="445"/>
      <c r="QN8" s="445"/>
      <c r="QO8" s="445"/>
      <c r="QP8" s="445"/>
      <c r="QQ8" s="445"/>
      <c r="QR8" s="445"/>
      <c r="QS8" s="445"/>
      <c r="QT8" s="445"/>
      <c r="QU8" s="445"/>
      <c r="QV8" s="445"/>
      <c r="QW8" s="445"/>
      <c r="QX8" s="445"/>
      <c r="QY8" s="445"/>
      <c r="QZ8" s="445"/>
      <c r="RA8" s="445"/>
      <c r="RB8" s="445"/>
      <c r="RC8" s="445"/>
      <c r="RD8" s="445"/>
      <c r="RE8" s="445"/>
      <c r="RF8" s="445"/>
      <c r="RG8" s="445"/>
      <c r="RH8" s="445"/>
      <c r="RI8" s="445"/>
      <c r="RJ8" s="445"/>
      <c r="RK8" s="445"/>
      <c r="RL8" s="445"/>
      <c r="RM8" s="445"/>
      <c r="RN8" s="445"/>
      <c r="RO8" s="445"/>
      <c r="RP8" s="445"/>
      <c r="RQ8" s="445"/>
      <c r="RR8" s="445"/>
      <c r="RS8" s="445"/>
      <c r="RT8" s="445"/>
      <c r="RU8" s="445"/>
      <c r="RV8" s="445"/>
      <c r="RW8" s="445"/>
      <c r="RX8" s="445"/>
      <c r="RY8" s="445"/>
      <c r="RZ8" s="445"/>
      <c r="SA8" s="445"/>
      <c r="SB8" s="445"/>
      <c r="SC8" s="445"/>
      <c r="SD8" s="445"/>
      <c r="SE8" s="445"/>
      <c r="SF8" s="445"/>
      <c r="SG8" s="445"/>
      <c r="SH8" s="445"/>
      <c r="SI8" s="445"/>
      <c r="SJ8" s="445"/>
      <c r="SK8" s="445"/>
      <c r="SL8" s="445"/>
      <c r="SM8" s="445"/>
      <c r="SN8" s="445"/>
      <c r="SO8" s="445"/>
      <c r="SP8" s="445"/>
      <c r="SQ8" s="445"/>
      <c r="SR8" s="445"/>
      <c r="SS8" s="445"/>
      <c r="ST8" s="445"/>
      <c r="SU8" s="445"/>
      <c r="SV8" s="445"/>
      <c r="SW8" s="445"/>
      <c r="SX8" s="445"/>
      <c r="SY8" s="445"/>
      <c r="SZ8" s="445"/>
      <c r="TA8" s="445"/>
      <c r="TB8" s="445"/>
      <c r="TC8" s="445"/>
      <c r="TD8" s="445"/>
      <c r="TE8" s="445"/>
      <c r="TF8" s="445"/>
      <c r="TG8" s="445"/>
      <c r="TH8" s="445"/>
      <c r="TI8" s="445"/>
      <c r="TJ8" s="445"/>
      <c r="TK8" s="445"/>
      <c r="TL8" s="445"/>
      <c r="TM8" s="445"/>
      <c r="TN8" s="445"/>
      <c r="TO8" s="445"/>
      <c r="TP8" s="445"/>
      <c r="TQ8" s="445"/>
      <c r="TR8" s="445"/>
      <c r="TS8" s="445"/>
      <c r="TT8" s="445"/>
      <c r="TU8" s="445"/>
      <c r="TV8" s="445"/>
      <c r="TW8" s="445"/>
      <c r="TX8" s="445"/>
      <c r="TY8" s="445"/>
      <c r="TZ8" s="445"/>
      <c r="UA8" s="445"/>
      <c r="UB8" s="445"/>
      <c r="UC8" s="445"/>
      <c r="UD8" s="445"/>
      <c r="UE8" s="445"/>
      <c r="UF8" s="445"/>
      <c r="UG8" s="445"/>
      <c r="UH8" s="445"/>
      <c r="UI8" s="445"/>
      <c r="UJ8" s="445"/>
      <c r="UK8" s="445"/>
      <c r="UL8" s="445"/>
      <c r="UM8" s="445"/>
      <c r="UN8" s="445"/>
      <c r="UO8" s="445"/>
      <c r="UP8" s="445"/>
      <c r="UQ8" s="445"/>
      <c r="UR8" s="445"/>
      <c r="US8" s="445"/>
      <c r="UT8" s="445"/>
      <c r="UU8" s="445"/>
      <c r="UV8" s="445"/>
      <c r="UW8" s="445"/>
      <c r="UX8" s="445"/>
      <c r="UY8" s="445"/>
      <c r="UZ8" s="445"/>
      <c r="VA8" s="445"/>
      <c r="VB8" s="445"/>
      <c r="VC8" s="445"/>
      <c r="VD8" s="445"/>
      <c r="VE8" s="445"/>
      <c r="VF8" s="445"/>
      <c r="VG8" s="445"/>
      <c r="VH8" s="445"/>
      <c r="VI8" s="445"/>
      <c r="VJ8" s="445"/>
      <c r="VK8" s="445"/>
      <c r="VL8" s="445"/>
      <c r="VM8" s="445"/>
      <c r="VN8" s="445"/>
      <c r="VO8" s="445"/>
      <c r="VP8" s="445"/>
      <c r="VQ8" s="445"/>
      <c r="VR8" s="445"/>
      <c r="VS8" s="445"/>
      <c r="VT8" s="445"/>
      <c r="VU8" s="445"/>
      <c r="VV8" s="445"/>
      <c r="VW8" s="445"/>
      <c r="VX8" s="445"/>
      <c r="VY8" s="445"/>
      <c r="VZ8" s="445"/>
      <c r="WA8" s="445"/>
      <c r="WB8" s="445"/>
      <c r="WC8" s="445"/>
      <c r="WD8" s="445"/>
      <c r="WE8" s="445"/>
      <c r="WF8" s="445"/>
      <c r="WG8" s="445"/>
      <c r="WH8" s="445"/>
      <c r="WI8" s="445"/>
      <c r="WJ8" s="445"/>
      <c r="WK8" s="445"/>
      <c r="WL8" s="445"/>
      <c r="WM8" s="445"/>
      <c r="WN8" s="445"/>
      <c r="WO8" s="445"/>
      <c r="WP8" s="445"/>
      <c r="WQ8" s="445"/>
      <c r="WR8" s="445"/>
      <c r="WS8" s="445"/>
      <c r="WT8" s="445"/>
      <c r="WU8" s="445"/>
      <c r="WV8" s="445"/>
      <c r="WW8" s="445"/>
      <c r="WX8" s="445"/>
      <c r="WY8" s="445"/>
      <c r="WZ8" s="445"/>
      <c r="XA8" s="445"/>
      <c r="XB8" s="445"/>
      <c r="XC8" s="445"/>
      <c r="XD8" s="445"/>
      <c r="XE8" s="445"/>
      <c r="XF8" s="445"/>
      <c r="XG8" s="445"/>
      <c r="XH8" s="445"/>
      <c r="XI8" s="445"/>
      <c r="XJ8" s="445"/>
      <c r="XK8" s="445"/>
      <c r="XL8" s="445"/>
      <c r="XM8" s="445"/>
      <c r="XN8" s="445"/>
      <c r="XO8" s="445"/>
      <c r="XP8" s="445"/>
      <c r="XQ8" s="445"/>
      <c r="XR8" s="445"/>
      <c r="XS8" s="445"/>
      <c r="XT8" s="445"/>
      <c r="XU8" s="445"/>
      <c r="XV8" s="445"/>
      <c r="XW8" s="445"/>
      <c r="XX8" s="445"/>
      <c r="XY8" s="445"/>
      <c r="XZ8" s="445"/>
      <c r="YA8" s="445"/>
      <c r="YB8" s="445"/>
      <c r="YC8" s="445"/>
      <c r="YD8" s="445"/>
      <c r="YE8" s="445"/>
      <c r="YF8" s="445"/>
      <c r="YG8" s="445"/>
      <c r="YH8" s="445"/>
      <c r="YI8" s="445"/>
      <c r="YJ8" s="445"/>
      <c r="YK8" s="445"/>
      <c r="YL8" s="445"/>
      <c r="YM8" s="445"/>
      <c r="YN8" s="445"/>
      <c r="YO8" s="445"/>
      <c r="YP8" s="445"/>
      <c r="YQ8" s="445"/>
      <c r="YR8" s="445"/>
      <c r="YS8" s="445"/>
      <c r="YT8" s="445"/>
      <c r="YU8" s="445"/>
      <c r="YV8" s="445"/>
      <c r="YW8" s="445"/>
      <c r="YX8" s="445"/>
      <c r="YY8" s="445"/>
      <c r="YZ8" s="445"/>
      <c r="ZA8" s="445"/>
      <c r="ZB8" s="445"/>
      <c r="ZC8" s="445"/>
      <c r="ZD8" s="445"/>
      <c r="ZE8" s="445"/>
      <c r="ZF8" s="445"/>
      <c r="ZG8" s="445"/>
      <c r="ZH8" s="445"/>
      <c r="ZI8" s="445"/>
      <c r="ZJ8" s="445"/>
      <c r="ZK8" s="445"/>
      <c r="ZL8" s="445"/>
      <c r="ZM8" s="445"/>
      <c r="ZN8" s="445"/>
      <c r="ZO8" s="445"/>
      <c r="ZP8" s="445"/>
      <c r="ZQ8" s="445"/>
      <c r="ZR8" s="445"/>
      <c r="ZS8" s="445"/>
      <c r="ZT8" s="445"/>
      <c r="ZU8" s="445"/>
      <c r="ZV8" s="445"/>
      <c r="ZW8" s="445"/>
      <c r="ZX8" s="445"/>
      <c r="ZY8" s="445"/>
      <c r="ZZ8" s="445"/>
      <c r="AAA8" s="445"/>
      <c r="AAB8" s="445"/>
      <c r="AAC8" s="445"/>
      <c r="AAD8" s="445"/>
      <c r="AAE8" s="445"/>
      <c r="AAF8" s="445"/>
      <c r="AAG8" s="445"/>
      <c r="AAH8" s="445"/>
      <c r="AAI8" s="445"/>
      <c r="AAJ8" s="445"/>
      <c r="AAK8" s="445"/>
      <c r="AAL8" s="445"/>
      <c r="AAM8" s="445"/>
      <c r="AAN8" s="445"/>
      <c r="AAO8" s="445"/>
      <c r="AAP8" s="445"/>
      <c r="AAQ8" s="445"/>
      <c r="AAR8" s="445"/>
      <c r="AAS8" s="445"/>
      <c r="AAT8" s="445"/>
      <c r="AAU8" s="445"/>
      <c r="AAV8" s="445"/>
      <c r="AAW8" s="445"/>
      <c r="AAX8" s="445"/>
      <c r="AAY8" s="445"/>
      <c r="AAZ8" s="445"/>
      <c r="ABA8" s="445"/>
      <c r="ABB8" s="445"/>
      <c r="ABC8" s="445"/>
      <c r="ABD8" s="445"/>
      <c r="ABE8" s="445"/>
      <c r="ABF8" s="445"/>
      <c r="ABG8" s="445"/>
      <c r="ABH8" s="445"/>
      <c r="ABI8" s="445"/>
      <c r="ABJ8" s="445"/>
      <c r="ABK8" s="445"/>
      <c r="ABL8" s="445"/>
      <c r="ABM8" s="445"/>
      <c r="ABN8" s="445"/>
      <c r="ABO8" s="445"/>
      <c r="ABP8" s="445"/>
      <c r="ABQ8" s="445"/>
      <c r="ABR8" s="445"/>
      <c r="ABS8" s="445"/>
      <c r="ABT8" s="445"/>
      <c r="ABU8" s="445"/>
      <c r="ABV8" s="445"/>
      <c r="ABW8" s="445"/>
      <c r="ABX8" s="445"/>
      <c r="ABY8" s="445"/>
      <c r="ABZ8" s="445"/>
      <c r="ACA8" s="445"/>
      <c r="ACB8" s="445"/>
      <c r="ACC8" s="445"/>
      <c r="ACD8" s="445"/>
      <c r="ACE8" s="445"/>
      <c r="ACF8" s="445"/>
      <c r="ACG8" s="445"/>
      <c r="ACH8" s="445"/>
      <c r="ACI8" s="445"/>
      <c r="ACJ8" s="445"/>
      <c r="ACK8" s="445"/>
      <c r="ACL8" s="445"/>
      <c r="ACM8" s="445"/>
      <c r="ACN8" s="445"/>
      <c r="ACO8" s="445"/>
      <c r="ACP8" s="445"/>
      <c r="ACQ8" s="445"/>
      <c r="ACR8" s="445"/>
      <c r="ACS8" s="445"/>
      <c r="ACT8" s="445"/>
      <c r="ACU8" s="445"/>
      <c r="ACV8" s="445"/>
      <c r="ACW8" s="445"/>
      <c r="ACX8" s="445"/>
      <c r="ACY8" s="445"/>
      <c r="ACZ8" s="445"/>
      <c r="ADA8" s="445"/>
      <c r="ADB8" s="445"/>
      <c r="ADC8" s="445"/>
      <c r="ADD8" s="445"/>
      <c r="ADE8" s="445"/>
      <c r="ADF8" s="445"/>
      <c r="ADG8" s="445"/>
      <c r="ADH8" s="445"/>
      <c r="ADI8" s="445"/>
      <c r="ADJ8" s="445"/>
      <c r="ADK8" s="445"/>
      <c r="ADL8" s="445"/>
      <c r="ADM8" s="445"/>
      <c r="ADN8" s="445"/>
      <c r="ADO8" s="445"/>
      <c r="ADP8" s="445"/>
      <c r="ADQ8" s="445"/>
      <c r="ADR8" s="445"/>
      <c r="ADS8" s="445"/>
      <c r="ADT8" s="445"/>
      <c r="ADU8" s="445"/>
      <c r="ADV8" s="445"/>
      <c r="ADW8" s="445"/>
      <c r="ADX8" s="445"/>
      <c r="ADY8" s="445"/>
      <c r="ADZ8" s="445"/>
      <c r="AEA8" s="445"/>
      <c r="AEB8" s="445"/>
      <c r="AEC8" s="445"/>
      <c r="AED8" s="445"/>
      <c r="AEE8" s="445"/>
      <c r="AEF8" s="445"/>
      <c r="AEG8" s="445"/>
      <c r="AEH8" s="445"/>
      <c r="AEI8" s="445"/>
      <c r="AEJ8" s="445"/>
      <c r="AEK8" s="445"/>
      <c r="AEL8" s="445"/>
      <c r="AEM8" s="445"/>
      <c r="AEN8" s="445"/>
      <c r="AEO8" s="445"/>
      <c r="AEP8" s="445"/>
      <c r="AEQ8" s="445"/>
      <c r="AER8" s="445"/>
      <c r="AES8" s="445"/>
      <c r="AET8" s="445"/>
      <c r="AEU8" s="445"/>
      <c r="AEV8" s="445"/>
      <c r="AEW8" s="445"/>
      <c r="AEX8" s="445"/>
      <c r="AEY8" s="445"/>
      <c r="AEZ8" s="445"/>
      <c r="AFA8" s="445"/>
      <c r="AFB8" s="445"/>
      <c r="AFC8" s="445"/>
      <c r="AFD8" s="445"/>
      <c r="AFE8" s="445"/>
      <c r="AFF8" s="445"/>
      <c r="AFG8" s="445"/>
      <c r="AFH8" s="445"/>
      <c r="AFI8" s="445"/>
      <c r="AFJ8" s="445"/>
      <c r="AFK8" s="445"/>
      <c r="AFL8" s="445"/>
      <c r="AFM8" s="445"/>
      <c r="AFN8" s="445"/>
      <c r="AFO8" s="445"/>
      <c r="AFP8" s="445"/>
      <c r="AFQ8" s="445"/>
      <c r="AFR8" s="445"/>
      <c r="AFS8" s="445"/>
      <c r="AFT8" s="445"/>
      <c r="AFU8" s="445"/>
      <c r="AFV8" s="445"/>
      <c r="AFW8" s="445"/>
      <c r="AFX8" s="445"/>
      <c r="AFY8" s="445"/>
      <c r="AFZ8" s="445"/>
      <c r="AGA8" s="445"/>
      <c r="AGB8" s="445"/>
      <c r="AGC8" s="445"/>
      <c r="AGD8" s="445"/>
      <c r="AGE8" s="445"/>
      <c r="AGF8" s="445"/>
      <c r="AGG8" s="445"/>
      <c r="AGH8" s="445"/>
      <c r="AGI8" s="445"/>
      <c r="AGJ8" s="445"/>
      <c r="AGK8" s="445"/>
      <c r="AGL8" s="445"/>
      <c r="AGM8" s="445"/>
      <c r="AGN8" s="445"/>
      <c r="AGO8" s="445"/>
      <c r="AGP8" s="445"/>
      <c r="AGQ8" s="445"/>
      <c r="AGR8" s="445"/>
      <c r="AGS8" s="445"/>
      <c r="AGT8" s="445"/>
      <c r="AGU8" s="445"/>
      <c r="AGV8" s="445"/>
      <c r="AGW8" s="445"/>
      <c r="AGX8" s="445"/>
      <c r="AGY8" s="445"/>
      <c r="AGZ8" s="445"/>
      <c r="AHA8" s="445"/>
      <c r="AHB8" s="445"/>
      <c r="AHC8" s="445"/>
      <c r="AHD8" s="445"/>
      <c r="AHE8" s="445"/>
      <c r="AHF8" s="445"/>
      <c r="AHG8" s="445"/>
      <c r="AHH8" s="445"/>
      <c r="AHI8" s="445"/>
      <c r="AHJ8" s="445"/>
      <c r="AHK8" s="445"/>
      <c r="AHL8" s="445"/>
      <c r="AHM8" s="445"/>
      <c r="AHN8" s="445"/>
      <c r="AHO8" s="445"/>
      <c r="AHP8" s="445"/>
      <c r="AHQ8" s="445"/>
      <c r="AHR8" s="445"/>
      <c r="AHS8" s="445"/>
      <c r="AHT8" s="445"/>
      <c r="AHU8" s="445"/>
      <c r="AHV8" s="445"/>
      <c r="AHW8" s="445"/>
      <c r="AHX8" s="445"/>
      <c r="AHY8" s="445"/>
      <c r="AHZ8" s="445"/>
      <c r="AIA8" s="445"/>
      <c r="AIB8" s="445"/>
      <c r="AIC8" s="445"/>
      <c r="AID8" s="445"/>
      <c r="AIE8" s="445"/>
      <c r="AIF8" s="445"/>
      <c r="AIG8" s="445"/>
      <c r="AIH8" s="445"/>
      <c r="AII8" s="445"/>
      <c r="AIJ8" s="445"/>
      <c r="AIK8" s="445"/>
      <c r="AIL8" s="445"/>
      <c r="AIM8" s="445"/>
      <c r="AIN8" s="445"/>
      <c r="AIO8" s="445"/>
      <c r="AIP8" s="445"/>
      <c r="AIQ8" s="445"/>
      <c r="AIR8" s="445"/>
      <c r="AIS8" s="445"/>
      <c r="AIT8" s="445"/>
      <c r="AIU8" s="445"/>
      <c r="AIV8" s="445"/>
      <c r="AIW8" s="445"/>
      <c r="AIX8" s="445"/>
      <c r="AIY8" s="445"/>
      <c r="AIZ8" s="445"/>
      <c r="AJA8" s="445"/>
      <c r="AJB8" s="445"/>
      <c r="AJC8" s="445"/>
      <c r="AJD8" s="445"/>
      <c r="AJE8" s="445"/>
      <c r="AJF8" s="445"/>
      <c r="AJG8" s="445"/>
      <c r="AJH8" s="445"/>
      <c r="AJI8" s="445"/>
      <c r="AJJ8" s="445"/>
      <c r="AJK8" s="445"/>
      <c r="AJL8" s="445"/>
      <c r="AJM8" s="445"/>
      <c r="AJN8" s="445"/>
      <c r="AJO8" s="445"/>
      <c r="AJP8" s="445"/>
      <c r="AJQ8" s="445"/>
      <c r="AJR8" s="445"/>
      <c r="AJS8" s="445"/>
      <c r="AJT8" s="445"/>
      <c r="AJU8" s="445"/>
      <c r="AJV8" s="445"/>
      <c r="AJW8" s="445"/>
      <c r="AJX8" s="445"/>
      <c r="AJY8" s="445"/>
      <c r="AJZ8" s="445"/>
      <c r="AKA8" s="445"/>
      <c r="AKB8" s="445"/>
      <c r="AKC8" s="445"/>
      <c r="AKD8" s="445"/>
      <c r="AKE8" s="445"/>
      <c r="AKF8" s="445"/>
      <c r="AKG8" s="445"/>
      <c r="AKH8" s="445"/>
      <c r="AKI8" s="445"/>
      <c r="AKJ8" s="445"/>
      <c r="AKK8" s="445"/>
      <c r="AKL8" s="445"/>
      <c r="AKM8" s="445"/>
      <c r="AKN8" s="445"/>
      <c r="AKO8" s="445"/>
      <c r="AKP8" s="445"/>
      <c r="AKQ8" s="445"/>
      <c r="AKR8" s="445"/>
      <c r="AKS8" s="445"/>
      <c r="AKT8" s="445"/>
      <c r="AKU8" s="445"/>
      <c r="AKV8" s="445"/>
      <c r="AKW8" s="445"/>
      <c r="AKX8" s="445"/>
      <c r="AKY8" s="445"/>
      <c r="AKZ8" s="445"/>
      <c r="ALA8" s="445"/>
      <c r="ALB8" s="445"/>
      <c r="ALC8" s="445"/>
      <c r="ALD8" s="445"/>
      <c r="ALE8" s="445"/>
      <c r="ALF8" s="445"/>
      <c r="ALG8" s="445"/>
      <c r="ALH8" s="445"/>
      <c r="ALI8" s="445"/>
      <c r="ALJ8" s="445"/>
      <c r="ALK8" s="445"/>
      <c r="ALL8" s="445"/>
      <c r="ALM8" s="445"/>
      <c r="ALN8" s="445"/>
      <c r="ALO8" s="445"/>
      <c r="ALP8" s="445"/>
      <c r="ALQ8" s="445"/>
      <c r="ALR8" s="445"/>
      <c r="ALS8" s="445"/>
      <c r="ALT8" s="445"/>
      <c r="ALU8" s="445"/>
      <c r="ALV8" s="445"/>
      <c r="ALW8" s="445"/>
      <c r="ALX8" s="445"/>
      <c r="ALY8" s="445"/>
      <c r="ALZ8" s="445"/>
    </row>
    <row r="9" spans="1:1014" ht="15" customHeight="1">
      <c r="A9" s="425">
        <v>1</v>
      </c>
      <c r="B9" s="322" t="s">
        <v>2463</v>
      </c>
      <c r="C9" s="322"/>
      <c r="D9" s="322"/>
      <c r="E9" s="415"/>
      <c r="F9" s="415"/>
      <c r="G9" s="415"/>
      <c r="H9" s="436" t="s">
        <v>2464</v>
      </c>
      <c r="I9" s="416"/>
      <c r="J9" s="418"/>
      <c r="K9" s="317" t="s">
        <v>2465</v>
      </c>
      <c r="L9" s="418"/>
      <c r="M9" s="418"/>
      <c r="N9" s="418"/>
      <c r="O9" s="418"/>
      <c r="P9" s="418"/>
      <c r="Q9" s="417" t="s">
        <v>820</v>
      </c>
      <c r="R9" s="342" t="s">
        <v>864</v>
      </c>
      <c r="S9" s="342" t="s">
        <v>2465</v>
      </c>
      <c r="T9" s="418"/>
      <c r="U9" s="418"/>
      <c r="V9" s="418" t="s">
        <v>864</v>
      </c>
      <c r="W9" s="418" t="s">
        <v>864</v>
      </c>
    </row>
    <row r="10" spans="1:1014" ht="15" customHeight="1">
      <c r="A10" s="425">
        <v>2</v>
      </c>
      <c r="B10" s="322"/>
      <c r="C10" s="322" t="s">
        <v>2466</v>
      </c>
      <c r="D10" s="322"/>
      <c r="E10" s="415"/>
      <c r="F10" s="415"/>
      <c r="G10" s="415"/>
      <c r="H10" s="448" t="s">
        <v>2467</v>
      </c>
      <c r="I10" s="420">
        <v>101</v>
      </c>
      <c r="J10" s="424"/>
      <c r="K10" s="421" t="s">
        <v>2468</v>
      </c>
      <c r="L10" s="422"/>
      <c r="M10" s="422"/>
      <c r="N10" s="422"/>
      <c r="O10" s="422"/>
      <c r="P10" s="422"/>
      <c r="Q10" s="417" t="s">
        <v>820</v>
      </c>
      <c r="R10" s="345"/>
      <c r="S10" s="345" t="s">
        <v>1079</v>
      </c>
      <c r="T10" s="422"/>
      <c r="U10" s="422"/>
      <c r="V10" s="422" t="s">
        <v>864</v>
      </c>
      <c r="W10" s="422" t="s">
        <v>864</v>
      </c>
    </row>
    <row r="11" spans="1:1014" ht="15" customHeight="1">
      <c r="A11" s="425">
        <v>3</v>
      </c>
      <c r="B11" s="322"/>
      <c r="C11" s="322" t="s">
        <v>2469</v>
      </c>
      <c r="D11" s="322"/>
      <c r="E11" s="415"/>
      <c r="F11" s="415"/>
      <c r="G11" s="415"/>
      <c r="H11" s="447" t="s">
        <v>2470</v>
      </c>
      <c r="I11" s="423" t="s">
        <v>2471</v>
      </c>
      <c r="J11" s="418"/>
      <c r="K11" s="317" t="s">
        <v>2472</v>
      </c>
      <c r="L11" s="418"/>
      <c r="M11" s="418"/>
      <c r="N11" s="418"/>
      <c r="O11" s="418"/>
      <c r="P11" s="418"/>
      <c r="Q11" s="417" t="s">
        <v>820</v>
      </c>
      <c r="R11" s="342"/>
      <c r="S11" s="342" t="s">
        <v>863</v>
      </c>
      <c r="T11" s="418"/>
      <c r="U11" s="418"/>
      <c r="V11" s="418" t="s">
        <v>864</v>
      </c>
      <c r="W11" s="418" t="s">
        <v>864</v>
      </c>
    </row>
    <row r="12" spans="1:1014" ht="15" customHeight="1">
      <c r="A12" s="425">
        <v>4</v>
      </c>
      <c r="B12" s="322" t="s">
        <v>2473</v>
      </c>
      <c r="C12" s="322"/>
      <c r="D12" s="322"/>
      <c r="E12" s="415"/>
      <c r="F12" s="415"/>
      <c r="G12" s="415"/>
      <c r="H12" s="449" t="s">
        <v>2474</v>
      </c>
      <c r="I12" s="420" t="s">
        <v>2475</v>
      </c>
      <c r="J12" s="424"/>
      <c r="K12" s="421" t="s">
        <v>2476</v>
      </c>
      <c r="L12" s="422"/>
      <c r="M12" s="422"/>
      <c r="N12" s="422"/>
      <c r="O12" s="422"/>
      <c r="P12" s="422"/>
      <c r="Q12" s="417" t="s">
        <v>820</v>
      </c>
      <c r="R12" s="345"/>
      <c r="S12" s="345" t="s">
        <v>863</v>
      </c>
      <c r="T12" s="422"/>
      <c r="U12" s="422"/>
      <c r="V12" s="422" t="s">
        <v>864</v>
      </c>
      <c r="W12" s="422" t="s">
        <v>864</v>
      </c>
    </row>
    <row r="13" spans="1:1014" ht="15" customHeight="1">
      <c r="A13" s="430">
        <v>5</v>
      </c>
      <c r="B13" s="431" t="s">
        <v>2477</v>
      </c>
      <c r="C13" s="431"/>
      <c r="D13" s="431"/>
      <c r="E13" s="432"/>
      <c r="F13" s="432"/>
      <c r="G13" s="432"/>
      <c r="H13" s="450" t="s">
        <v>2478</v>
      </c>
      <c r="I13" s="433"/>
      <c r="J13" s="434"/>
      <c r="K13" s="433" t="s">
        <v>2479</v>
      </c>
      <c r="L13" s="434"/>
      <c r="M13" s="434"/>
      <c r="N13" s="434"/>
      <c r="O13" s="434"/>
      <c r="P13" s="434"/>
      <c r="Q13" s="435" t="s">
        <v>817</v>
      </c>
      <c r="R13" s="510" t="s">
        <v>864</v>
      </c>
      <c r="S13" s="511" t="s">
        <v>2479</v>
      </c>
      <c r="T13" s="434"/>
      <c r="U13" s="434"/>
      <c r="V13" s="434" t="s">
        <v>864</v>
      </c>
      <c r="W13" s="434" t="s">
        <v>864</v>
      </c>
    </row>
    <row r="14" spans="1:1014" ht="15" customHeight="1" thickBot="1">
      <c r="A14" s="484">
        <v>6</v>
      </c>
      <c r="B14" s="485" t="s">
        <v>2480</v>
      </c>
      <c r="C14" s="485"/>
      <c r="D14" s="485"/>
      <c r="E14" s="486"/>
      <c r="F14" s="486"/>
      <c r="G14" s="486"/>
      <c r="H14" s="487" t="s">
        <v>2481</v>
      </c>
      <c r="I14" s="488"/>
      <c r="J14" s="489"/>
      <c r="K14" s="477" t="s">
        <v>2482</v>
      </c>
      <c r="L14" s="489"/>
      <c r="M14" s="489"/>
      <c r="N14" s="489"/>
      <c r="O14" s="489"/>
      <c r="P14" s="489"/>
      <c r="Q14" s="490" t="s">
        <v>820</v>
      </c>
      <c r="R14" s="512"/>
      <c r="S14" s="512" t="s">
        <v>863</v>
      </c>
      <c r="T14" s="489"/>
      <c r="U14" s="489"/>
      <c r="V14" s="489" t="s">
        <v>864</v>
      </c>
      <c r="W14" s="489" t="s">
        <v>864</v>
      </c>
    </row>
    <row r="15" spans="1:1014" s="456" customFormat="1" ht="15.75" thickTop="1">
      <c r="A15" s="483">
        <f>SUBTOTAL(103,Tableau9[ID])</f>
        <v>6</v>
      </c>
      <c r="B15" s="483">
        <f>SUBTOTAL(103,Tableau9[Donnée (Niveau 1)])</f>
        <v>4</v>
      </c>
      <c r="C15" s="483">
        <f>SUBTOTAL(103,Tableau9[Donnée (Niveau 2)])</f>
        <v>2</v>
      </c>
      <c r="D15" s="483">
        <f>SUBTOTAL(103,Tableau9[Donnée (Niveau 3)])</f>
        <v>0</v>
      </c>
      <c r="E15" s="483">
        <f>SUBTOTAL(103,Tableau9[Donnée (Niveau 4)])</f>
        <v>0</v>
      </c>
      <c r="F15" s="483">
        <f>SUBTOTAL(103,Tableau9[Donnée (Niveau 5)])</f>
        <v>0</v>
      </c>
      <c r="G15" s="483">
        <f>SUBTOTAL(103,Tableau9[Donnée (Niveau 6)])</f>
        <v>0</v>
      </c>
      <c r="H15" s="483">
        <f>SUBTOTAL(103,Tableau9[Description])</f>
        <v>6</v>
      </c>
      <c r="I15" s="483">
        <f>SUBTOTAL(103,Tableau9[Exemples])</f>
        <v>3</v>
      </c>
      <c r="J15" s="483">
        <f>SUBTOTAL(103,Tableau9[Balise NexSIS])</f>
        <v>0</v>
      </c>
      <c r="K15" s="483">
        <f>SUBTOTAL(103,Tableau9[Nouvelle balise])</f>
        <v>6</v>
      </c>
      <c r="L15" s="483">
        <f>SUBTOTAL(103,Tableau9[Nantes - balise])</f>
        <v>0</v>
      </c>
      <c r="M15" s="483">
        <f>SUBTOTAL(103,Tableau9[Nantes - description])</f>
        <v>0</v>
      </c>
      <c r="N15" s="483">
        <f>SUBTOTAL(103,Tableau9[GT399])</f>
        <v>0</v>
      </c>
      <c r="O15" s="483">
        <f>SUBTOTAL(103,Tableau9[GT399 description])</f>
        <v>0</v>
      </c>
      <c r="P15" s="483">
        <f>SUBTOTAL(103,Tableau9[Priorisation])</f>
        <v>0</v>
      </c>
      <c r="Q15" s="483">
        <f>SUBTOTAL(103,Tableau9[Cardinalité])</f>
        <v>6</v>
      </c>
      <c r="R15" s="483">
        <f>SUBTOTAL(103,Tableau9[Objet])</f>
        <v>2</v>
      </c>
      <c r="S15" s="483">
        <f>SUBTOTAL(103,Tableau9[Format (ou type)])</f>
        <v>6</v>
      </c>
      <c r="T15" s="483">
        <f>SUBTOTAL(103,Tableau9[Nomenclature/ énumération])</f>
        <v>0</v>
      </c>
      <c r="U15" s="483">
        <f>SUBTOTAL(103,Tableau9[Détails de format])</f>
        <v>0</v>
      </c>
      <c r="V15" s="483">
        <f>SUBTOTAL(103,Tableau9[15-18])</f>
        <v>6</v>
      </c>
      <c r="W15" s="483">
        <f>SUBTOTAL(103,Tableau9[15-15])</f>
        <v>6</v>
      </c>
    </row>
    <row r="16" spans="1:1014">
      <c r="E16" s="57"/>
      <c r="AF16" s="452"/>
      <c r="AG16" s="453"/>
      <c r="AH16" s="453"/>
      <c r="AI16" s="454"/>
    </row>
    <row r="17" spans="3:8">
      <c r="E17" s="57"/>
    </row>
    <row r="18" spans="3:8">
      <c r="E18" s="57"/>
    </row>
    <row r="19" spans="3:8">
      <c r="C19" s="455"/>
      <c r="E19" s="57"/>
      <c r="H19" t="s">
        <v>303</v>
      </c>
    </row>
  </sheetData>
  <mergeCells count="10">
    <mergeCell ref="E1:F1"/>
    <mergeCell ref="H1:J2"/>
    <mergeCell ref="O1:P1"/>
    <mergeCell ref="L7:O7"/>
    <mergeCell ref="V7:W7"/>
    <mergeCell ref="AC7:AD7"/>
    <mergeCell ref="E5:F5"/>
    <mergeCell ref="E4:F4"/>
    <mergeCell ref="E3:F3"/>
    <mergeCell ref="E2:F2"/>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defaultColWidth="9" defaultRowHeight="14.25"/>
  <cols>
    <col min="1" max="1" width="13.5" customWidth="1"/>
    <col min="13" max="13" width="37" customWidth="1"/>
    <col min="14" max="14" width="44.5" customWidth="1"/>
    <col min="1024" max="1024" width="9" customWidth="1"/>
  </cols>
  <sheetData>
    <row r="1" spans="1:14" ht="15.75">
      <c r="A1" s="8"/>
      <c r="B1" s="9" t="s">
        <v>625</v>
      </c>
      <c r="C1" s="10"/>
      <c r="D1" s="11"/>
      <c r="E1" s="10"/>
      <c r="F1" s="83"/>
      <c r="G1" s="11"/>
      <c r="H1" s="11"/>
      <c r="I1" s="84"/>
      <c r="J1" s="84"/>
      <c r="K1" s="609"/>
      <c r="L1" s="609"/>
      <c r="M1" s="609"/>
      <c r="N1" s="609"/>
    </row>
    <row r="3" spans="1:14">
      <c r="M3" s="85" t="s">
        <v>626</v>
      </c>
      <c r="N3" s="85" t="s">
        <v>627</v>
      </c>
    </row>
    <row r="4" spans="1:14" ht="42.75">
      <c r="M4" s="86" t="s">
        <v>628</v>
      </c>
      <c r="N4" s="86" t="s">
        <v>629</v>
      </c>
    </row>
    <row r="5" spans="1:14" ht="142.5">
      <c r="M5" s="86" t="s">
        <v>630</v>
      </c>
      <c r="N5" s="86" t="s">
        <v>631</v>
      </c>
    </row>
    <row r="6" spans="1:14" ht="199.5">
      <c r="M6" s="86" t="s">
        <v>632</v>
      </c>
      <c r="N6" s="86" t="s">
        <v>633</v>
      </c>
    </row>
    <row r="7" spans="1:14" ht="42.75">
      <c r="M7" s="86" t="s">
        <v>634</v>
      </c>
      <c r="N7" s="86" t="s">
        <v>635</v>
      </c>
    </row>
    <row r="8" spans="1:14" ht="85.5">
      <c r="M8" s="86" t="s">
        <v>636</v>
      </c>
      <c r="N8" s="86" t="s">
        <v>637</v>
      </c>
    </row>
    <row r="9" spans="1:14" ht="71.25">
      <c r="M9" s="86" t="s">
        <v>638</v>
      </c>
      <c r="N9" s="86" t="s">
        <v>639</v>
      </c>
    </row>
    <row r="10" spans="1:14" ht="99.75">
      <c r="M10" s="86" t="s">
        <v>640</v>
      </c>
      <c r="N10" s="86" t="s">
        <v>641</v>
      </c>
    </row>
    <row r="11" spans="1:14" ht="85.5">
      <c r="M11" s="86" t="s">
        <v>642</v>
      </c>
      <c r="N11" s="86" t="s">
        <v>643</v>
      </c>
    </row>
    <row r="12" spans="1:14" ht="28.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B2B67-07C0-4658-B86D-B81D2F5F3465}">
  <dimension ref="A1:ALZ13"/>
  <sheetViews>
    <sheetView workbookViewId="0">
      <pane xSplit="7" ySplit="8" topLeftCell="M9" activePane="bottomRight" state="frozen"/>
      <selection pane="bottomRight" activeCell="M15" sqref="M15"/>
      <selection pane="bottomLeft"/>
      <selection pane="topRight"/>
    </sheetView>
  </sheetViews>
  <sheetFormatPr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1" bestFit="1" customWidth="1"/>
    <col min="11" max="11" width="15" bestFit="1" customWidth="1"/>
    <col min="12" max="15" width="2.625" customWidth="1"/>
    <col min="16" max="16" width="2.5" customWidth="1"/>
    <col min="17" max="17" width="9.375" customWidth="1"/>
    <col min="18" max="18" width="5.625" customWidth="1"/>
    <col min="19" max="19" width="12.625" customWidth="1"/>
    <col min="20" max="20" width="15.125" customWidth="1"/>
    <col min="21" max="21" width="10.625" customWidth="1"/>
    <col min="22" max="22" width="11" bestFit="1" customWidth="1"/>
    <col min="23" max="23" width="7.375" bestFit="1" customWidth="1"/>
    <col min="24" max="30" width="9" customWidth="1"/>
  </cols>
  <sheetData>
    <row r="1" spans="1:1014" ht="14.25" customHeight="1">
      <c r="A1" s="272" t="s">
        <v>2483</v>
      </c>
      <c r="B1" s="128"/>
      <c r="C1" s="129" t="s">
        <v>813</v>
      </c>
      <c r="D1" s="128"/>
      <c r="E1" s="294" t="s">
        <v>814</v>
      </c>
      <c r="F1" s="128"/>
      <c r="G1" s="128"/>
      <c r="H1" s="593" t="s">
        <v>1620</v>
      </c>
      <c r="I1" s="593"/>
      <c r="J1" s="96"/>
      <c r="K1" s="96"/>
      <c r="L1" s="96"/>
      <c r="M1" s="96"/>
      <c r="N1" s="96"/>
      <c r="O1" s="605" t="s">
        <v>816</v>
      </c>
      <c r="P1" s="605"/>
      <c r="Q1" s="96"/>
      <c r="R1" s="96"/>
      <c r="S1" s="96"/>
      <c r="T1" s="96"/>
      <c r="U1" s="96"/>
      <c r="V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N1" s="128"/>
      <c r="ALO1" s="128"/>
      <c r="ALP1" s="128"/>
      <c r="ALQ1" s="128"/>
      <c r="ALR1" s="128"/>
      <c r="ALS1" s="128"/>
      <c r="ALT1" s="128"/>
      <c r="ALU1" s="128"/>
      <c r="ALV1" s="128"/>
      <c r="ALW1" s="128"/>
      <c r="ALX1" s="128"/>
      <c r="ALY1" s="128"/>
    </row>
    <row r="2" spans="1:1014" ht="15">
      <c r="A2" s="128"/>
      <c r="B2" s="128"/>
      <c r="C2" s="296" t="s">
        <v>818</v>
      </c>
      <c r="D2" s="128"/>
      <c r="E2" s="297" t="s">
        <v>819</v>
      </c>
      <c r="F2" s="128"/>
      <c r="G2" s="128"/>
      <c r="H2" s="593"/>
      <c r="I2" s="593"/>
      <c r="J2" s="96"/>
      <c r="K2" s="96"/>
      <c r="L2" s="96"/>
      <c r="M2" s="96"/>
      <c r="N2" s="96"/>
      <c r="O2" s="96"/>
      <c r="P2" s="96"/>
      <c r="Q2" s="96"/>
      <c r="R2" s="96"/>
      <c r="S2" s="96"/>
      <c r="T2" s="96"/>
      <c r="U2" s="96"/>
      <c r="V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N2" s="128"/>
      <c r="ALO2" s="128"/>
      <c r="ALP2" s="128"/>
      <c r="ALQ2" s="128"/>
      <c r="ALR2" s="128"/>
      <c r="ALS2" s="128"/>
      <c r="ALT2" s="128"/>
      <c r="ALU2" s="128"/>
      <c r="ALV2" s="128"/>
      <c r="ALW2" s="128"/>
      <c r="ALX2" s="128"/>
      <c r="ALY2" s="128"/>
    </row>
    <row r="3" spans="1:1014" ht="15">
      <c r="A3" s="128"/>
      <c r="B3" s="128"/>
      <c r="C3" s="298" t="s">
        <v>821</v>
      </c>
      <c r="D3" s="128"/>
      <c r="E3" s="299" t="s">
        <v>822</v>
      </c>
      <c r="F3" s="128"/>
      <c r="G3" s="128"/>
      <c r="H3" s="96"/>
      <c r="I3" s="5"/>
      <c r="J3" s="96"/>
      <c r="K3" s="96"/>
      <c r="L3" s="96"/>
      <c r="M3" s="96"/>
      <c r="N3" s="96"/>
      <c r="O3" s="96"/>
      <c r="P3" s="96"/>
      <c r="Q3" s="96"/>
      <c r="R3" s="96"/>
      <c r="S3" s="96"/>
      <c r="T3" s="96"/>
      <c r="U3" s="96"/>
      <c r="V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N3" s="128"/>
      <c r="ALO3" s="128"/>
      <c r="ALP3" s="128"/>
      <c r="ALQ3" s="128"/>
      <c r="ALR3" s="128"/>
      <c r="ALS3" s="128"/>
      <c r="ALT3" s="128"/>
      <c r="ALU3" s="128"/>
      <c r="ALV3" s="128"/>
      <c r="ALW3" s="128"/>
      <c r="ALX3" s="128"/>
      <c r="ALY3" s="128"/>
    </row>
    <row r="4" spans="1:1014" ht="15">
      <c r="A4" s="128"/>
      <c r="B4" s="128"/>
      <c r="C4" s="300" t="s">
        <v>824</v>
      </c>
      <c r="D4" s="128"/>
      <c r="E4" s="301" t="s">
        <v>825</v>
      </c>
      <c r="F4" s="128"/>
      <c r="G4" s="137" t="s">
        <v>1620</v>
      </c>
      <c r="H4" s="96"/>
      <c r="I4" s="5"/>
      <c r="J4" s="96"/>
      <c r="K4" s="96"/>
      <c r="L4" s="96"/>
      <c r="M4" s="96"/>
      <c r="N4" s="96"/>
      <c r="O4" s="96"/>
      <c r="P4" s="96"/>
      <c r="Q4" s="96"/>
      <c r="R4" s="96"/>
      <c r="S4" s="96"/>
      <c r="T4" s="96"/>
      <c r="U4" s="96"/>
      <c r="V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N4" s="128"/>
      <c r="ALO4" s="128"/>
      <c r="ALP4" s="128"/>
      <c r="ALQ4" s="128"/>
      <c r="ALR4" s="128"/>
      <c r="ALS4" s="128"/>
      <c r="ALT4" s="128"/>
      <c r="ALU4" s="128"/>
      <c r="ALV4" s="128"/>
      <c r="ALW4" s="128"/>
      <c r="ALX4" s="128"/>
      <c r="ALY4" s="128"/>
    </row>
    <row r="5" spans="1:1014" ht="15">
      <c r="A5" s="128"/>
      <c r="B5" s="128"/>
      <c r="C5" s="145" t="s">
        <v>826</v>
      </c>
      <c r="D5" s="146" t="s">
        <v>1620</v>
      </c>
      <c r="E5" s="408" t="s">
        <v>912</v>
      </c>
      <c r="F5" s="146" t="s">
        <v>1620</v>
      </c>
      <c r="G5" s="148"/>
      <c r="H5" s="148"/>
      <c r="I5" s="409"/>
      <c r="J5" s="148"/>
      <c r="K5" s="148"/>
      <c r="L5" s="148"/>
      <c r="M5" s="148"/>
      <c r="N5" s="148"/>
      <c r="O5" s="148"/>
      <c r="P5" s="148"/>
      <c r="Q5" s="148"/>
      <c r="R5" s="148"/>
      <c r="S5" s="148"/>
      <c r="T5" s="148"/>
      <c r="U5" s="148"/>
      <c r="V5" s="148"/>
      <c r="W5" s="149"/>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9"/>
      <c r="ALN5" s="147"/>
      <c r="ALO5" s="147"/>
      <c r="ALP5" s="147"/>
      <c r="ALQ5" s="147"/>
      <c r="ALR5" s="147"/>
      <c r="ALS5" s="147"/>
      <c r="ALT5" s="147"/>
      <c r="ALU5" s="147"/>
      <c r="ALV5" s="147"/>
      <c r="ALW5" s="147"/>
      <c r="ALX5" s="147"/>
      <c r="ALY5" s="147"/>
      <c r="ALZ5" s="149"/>
    </row>
    <row r="6" spans="1:1014" ht="15">
      <c r="A6" s="128"/>
      <c r="B6" s="128"/>
      <c r="C6" s="303" t="s">
        <v>827</v>
      </c>
      <c r="D6" s="138" t="s">
        <v>1620</v>
      </c>
      <c r="E6" s="128"/>
      <c r="F6" s="138" t="s">
        <v>1620</v>
      </c>
      <c r="G6" s="96"/>
      <c r="H6" s="96"/>
      <c r="I6" s="5"/>
      <c r="J6" s="96"/>
      <c r="K6" s="96"/>
      <c r="L6" s="96"/>
      <c r="M6" s="96"/>
      <c r="N6" s="96"/>
      <c r="O6" s="96"/>
      <c r="P6" s="96"/>
      <c r="Q6" s="96"/>
      <c r="R6" s="96"/>
      <c r="S6" s="96"/>
      <c r="T6" s="96"/>
      <c r="U6" s="96"/>
      <c r="V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N6" s="128"/>
      <c r="ALO6" s="128"/>
      <c r="ALP6" s="128"/>
      <c r="ALQ6" s="128"/>
      <c r="ALR6" s="128"/>
      <c r="ALS6" s="128"/>
      <c r="ALT6" s="128"/>
      <c r="ALU6" s="128"/>
      <c r="ALV6" s="128"/>
      <c r="ALW6" s="128"/>
      <c r="ALX6" s="128"/>
      <c r="ALY6" s="128"/>
    </row>
    <row r="7" spans="1:1014" ht="14.25" customHeight="1">
      <c r="C7" s="138" t="s">
        <v>1620</v>
      </c>
      <c r="D7" s="410" t="s">
        <v>1620</v>
      </c>
      <c r="E7" s="304" t="s">
        <v>1620</v>
      </c>
      <c r="F7" s="304" t="s">
        <v>1620</v>
      </c>
      <c r="G7" s="96"/>
      <c r="H7" s="96"/>
      <c r="I7" s="5"/>
      <c r="J7" s="96"/>
      <c r="K7" s="96"/>
      <c r="L7" s="594" t="s">
        <v>828</v>
      </c>
      <c r="M7" s="594"/>
      <c r="N7" s="594"/>
      <c r="O7" s="594"/>
      <c r="P7" s="96"/>
      <c r="Q7" s="96"/>
      <c r="R7" s="96"/>
      <c r="S7" s="96"/>
      <c r="T7" s="96"/>
      <c r="V7" s="411" t="s">
        <v>829</v>
      </c>
      <c r="W7" s="411"/>
      <c r="Y7" s="96"/>
      <c r="Z7" s="96"/>
      <c r="AA7" s="96"/>
      <c r="AB7" s="96"/>
      <c r="AC7" s="594" t="s">
        <v>830</v>
      </c>
      <c r="AD7" s="594"/>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N7" s="128"/>
      <c r="ALO7" s="128"/>
      <c r="ALP7" s="128"/>
      <c r="ALQ7" s="128"/>
      <c r="ALR7" s="128"/>
      <c r="ALS7" s="128"/>
      <c r="ALT7" s="128"/>
      <c r="ALU7" s="128"/>
      <c r="ALV7" s="128"/>
      <c r="ALW7" s="128"/>
      <c r="ALX7" s="128"/>
      <c r="ALY7" s="128"/>
    </row>
    <row r="8" spans="1:1014" s="446" customFormat="1" ht="27.75" customHeight="1">
      <c r="A8" s="306" t="s">
        <v>831</v>
      </c>
      <c r="B8" s="412" t="s">
        <v>832</v>
      </c>
      <c r="C8" s="412" t="s">
        <v>833</v>
      </c>
      <c r="D8" s="412" t="s">
        <v>834</v>
      </c>
      <c r="E8" s="412" t="s">
        <v>835</v>
      </c>
      <c r="F8" s="412" t="s">
        <v>836</v>
      </c>
      <c r="G8" s="412" t="s">
        <v>837</v>
      </c>
      <c r="H8" s="310" t="s">
        <v>9</v>
      </c>
      <c r="I8" s="310" t="s">
        <v>838</v>
      </c>
      <c r="J8" s="310" t="s">
        <v>841</v>
      </c>
      <c r="K8" s="310" t="s">
        <v>842</v>
      </c>
      <c r="L8" s="437" t="s">
        <v>843</v>
      </c>
      <c r="M8" s="437" t="s">
        <v>844</v>
      </c>
      <c r="N8" s="437" t="s">
        <v>845</v>
      </c>
      <c r="O8" s="437" t="s">
        <v>846</v>
      </c>
      <c r="P8" s="437" t="s">
        <v>847</v>
      </c>
      <c r="Q8" s="310" t="s">
        <v>677</v>
      </c>
      <c r="R8" s="310" t="s">
        <v>3</v>
      </c>
      <c r="S8" s="310" t="s">
        <v>2462</v>
      </c>
      <c r="T8" s="310" t="s">
        <v>914</v>
      </c>
      <c r="U8" s="310" t="s">
        <v>849</v>
      </c>
      <c r="V8" s="311" t="s">
        <v>850</v>
      </c>
      <c r="W8" s="413" t="s">
        <v>851</v>
      </c>
      <c r="X8" s="441" t="s">
        <v>852</v>
      </c>
      <c r="Y8" s="442" t="s">
        <v>853</v>
      </c>
      <c r="Z8" s="442" t="s">
        <v>854</v>
      </c>
      <c r="AA8" s="443" t="s">
        <v>855</v>
      </c>
      <c r="AB8" s="442" t="s">
        <v>856</v>
      </c>
      <c r="AC8" s="442" t="s">
        <v>857</v>
      </c>
      <c r="AD8" s="444"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445"/>
      <c r="ALO8" s="445"/>
      <c r="ALP8" s="445"/>
      <c r="ALQ8" s="445"/>
      <c r="ALR8" s="445"/>
      <c r="ALS8" s="445"/>
      <c r="ALT8" s="445"/>
      <c r="ALU8" s="445"/>
      <c r="ALV8" s="445"/>
      <c r="ALW8" s="445"/>
      <c r="ALX8" s="445"/>
      <c r="ALY8" s="445"/>
      <c r="ALZ8" s="445"/>
    </row>
    <row r="9" spans="1:1014" ht="29.25" customHeight="1">
      <c r="A9" s="414">
        <v>1</v>
      </c>
      <c r="B9" s="322" t="s">
        <v>2484</v>
      </c>
      <c r="C9" s="322"/>
      <c r="D9" s="322"/>
      <c r="E9" s="415"/>
      <c r="F9" s="415"/>
      <c r="G9" s="415"/>
      <c r="H9" s="436" t="s">
        <v>2485</v>
      </c>
      <c r="I9" s="399"/>
      <c r="J9" s="418"/>
      <c r="K9" s="317" t="s">
        <v>2483</v>
      </c>
      <c r="L9" s="317"/>
      <c r="M9" s="317"/>
      <c r="N9" s="317"/>
      <c r="O9" s="317"/>
      <c r="P9" s="317"/>
      <c r="Q9" s="417" t="s">
        <v>820</v>
      </c>
      <c r="R9" s="342"/>
      <c r="S9" s="342" t="s">
        <v>863</v>
      </c>
      <c r="T9" s="418"/>
      <c r="U9" s="418"/>
      <c r="V9" s="418" t="s">
        <v>864</v>
      </c>
      <c r="W9" s="419" t="s">
        <v>864</v>
      </c>
    </row>
    <row r="10" spans="1:1014">
      <c r="A10">
        <f>SUBTOTAL(103,Tableau911[ID])</f>
        <v>1</v>
      </c>
      <c r="B10">
        <f>SUBTOTAL(103,Tableau911[Donnée (Niveau 1)])</f>
        <v>1</v>
      </c>
      <c r="C10">
        <f>SUBTOTAL(103,Tableau911[Donnée (Niveau 2)])</f>
        <v>0</v>
      </c>
      <c r="D10">
        <f>SUBTOTAL(103,Tableau911[Donnée (Niveau 3)])</f>
        <v>0</v>
      </c>
      <c r="E10">
        <f>SUBTOTAL(103,Tableau911[Donnée (Niveau 4)])</f>
        <v>0</v>
      </c>
      <c r="F10">
        <f>SUBTOTAL(103,Tableau911[Donnée (Niveau 5)])</f>
        <v>0</v>
      </c>
      <c r="G10">
        <f>SUBTOTAL(103,Tableau911[Donnée (Niveau 6)])</f>
        <v>0</v>
      </c>
      <c r="H10">
        <f>SUBTOTAL(103,Tableau911[Description])</f>
        <v>1</v>
      </c>
      <c r="I10">
        <f>SUBTOTAL(103,Tableau911[Exemples])</f>
        <v>0</v>
      </c>
      <c r="J10">
        <f>SUBTOTAL(103,Tableau911[Balise NexSIS])</f>
        <v>0</v>
      </c>
      <c r="K10">
        <f>SUBTOTAL(103,Tableau911[Nouvelle balise])</f>
        <v>1</v>
      </c>
      <c r="L10">
        <f>SUBTOTAL(103,Tableau911[Nantes - balise])</f>
        <v>0</v>
      </c>
      <c r="M10">
        <f>SUBTOTAL(103,Tableau911[Nantes - description])</f>
        <v>0</v>
      </c>
      <c r="N10">
        <f>SUBTOTAL(103,Tableau911[GT399])</f>
        <v>0</v>
      </c>
      <c r="O10">
        <f>SUBTOTAL(103,Tableau911[GT399 description])</f>
        <v>0</v>
      </c>
      <c r="P10">
        <f>SUBTOTAL(103,Tableau911[Priorisation])</f>
        <v>0</v>
      </c>
      <c r="Q10">
        <f>SUBTOTAL(103,Tableau911[Cardinalité])</f>
        <v>1</v>
      </c>
      <c r="R10">
        <f>SUBTOTAL(103,Tableau911[Objet])</f>
        <v>0</v>
      </c>
      <c r="S10">
        <f>SUBTOTAL(103,Tableau911[Format (ou type)])</f>
        <v>1</v>
      </c>
      <c r="T10">
        <f>SUBTOTAL(103,Tableau911[Nomenclature/ énumération])</f>
        <v>0</v>
      </c>
      <c r="U10">
        <f>SUBTOTAL(103,Tableau911[Détails de format])</f>
        <v>0</v>
      </c>
      <c r="V10">
        <f>SUBTOTAL(103,Tableau911[15-18])</f>
        <v>1</v>
      </c>
      <c r="W10">
        <f>SUBTOTAL(103,Tableau911[15-15])</f>
        <v>1</v>
      </c>
    </row>
    <row r="11" spans="1:1014">
      <c r="E11" s="57"/>
    </row>
    <row r="12" spans="1:1014">
      <c r="E12" s="57"/>
    </row>
    <row r="13" spans="1:1014">
      <c r="E13" s="57"/>
    </row>
  </sheetData>
  <mergeCells count="4">
    <mergeCell ref="H1:I2"/>
    <mergeCell ref="AC7:AD7"/>
    <mergeCell ref="O1:P1"/>
    <mergeCell ref="L7:O7"/>
  </mergeCells>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91CE-1AA4-4541-A726-B3B0D69717EE}">
  <dimension ref="A1:AMF13"/>
  <sheetViews>
    <sheetView workbookViewId="0">
      <pane xSplit="7" ySplit="8" topLeftCell="K9" activePane="bottomRight" state="frozen"/>
      <selection pane="bottomRight" activeCell="K16" sqref="K16"/>
      <selection pane="bottomLeft"/>
      <selection pane="topRight"/>
    </sheetView>
  </sheetViews>
  <sheetFormatPr defaultColWidth="9" defaultRowHeight="14.25"/>
  <cols>
    <col min="1" max="1" width="4.625" customWidth="1"/>
    <col min="2" max="2" width="27.125" customWidth="1"/>
    <col min="3" max="3" width="24.625" customWidth="1"/>
    <col min="4" max="4" width="12.5" customWidth="1"/>
    <col min="5" max="5" width="12.625" customWidth="1"/>
    <col min="6" max="7" width="13" bestFit="1" customWidth="1"/>
    <col min="8" max="8" width="37.125" customWidth="1"/>
    <col min="9" max="10" width="26.5" customWidth="1"/>
    <col min="11" max="11" width="16.25" customWidth="1"/>
    <col min="12" max="15" width="2.125" customWidth="1"/>
    <col min="16" max="16" width="2.375" customWidth="1"/>
    <col min="17" max="17" width="12.5" customWidth="1"/>
    <col min="18" max="18" width="2" customWidth="1"/>
    <col min="19" max="19" width="7.125" customWidth="1"/>
    <col min="20" max="21" width="2" customWidth="1"/>
    <col min="22" max="22" width="6.125" customWidth="1"/>
    <col min="23" max="23" width="6" customWidth="1"/>
    <col min="26" max="26" width="7.375" customWidth="1"/>
    <col min="27" max="27" width="11" bestFit="1" customWidth="1"/>
    <col min="30" max="36" width="0" hidden="1" customWidth="1"/>
  </cols>
  <sheetData>
    <row r="1" spans="1:1020" ht="14.25" customHeight="1">
      <c r="A1" s="272" t="s">
        <v>1803</v>
      </c>
      <c r="B1" s="272"/>
      <c r="C1" s="129" t="s">
        <v>813</v>
      </c>
      <c r="D1" s="128"/>
      <c r="E1" s="294" t="s">
        <v>814</v>
      </c>
      <c r="F1" s="128"/>
      <c r="G1" s="128"/>
      <c r="H1" s="593" t="s">
        <v>1620</v>
      </c>
      <c r="I1" s="593"/>
      <c r="J1" s="295"/>
      <c r="K1" s="96"/>
      <c r="L1" s="96"/>
      <c r="M1" s="96"/>
      <c r="N1" s="96"/>
      <c r="O1" s="605" t="s">
        <v>816</v>
      </c>
      <c r="P1" s="605"/>
      <c r="Q1" s="96"/>
      <c r="R1" s="96"/>
      <c r="S1" s="96"/>
      <c r="T1" s="96"/>
      <c r="U1" s="96"/>
      <c r="V1" s="96"/>
      <c r="W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T1" s="128"/>
      <c r="ALU1" s="128"/>
      <c r="ALV1" s="128"/>
      <c r="ALW1" s="128"/>
      <c r="ALX1" s="128"/>
      <c r="ALY1" s="128"/>
      <c r="ALZ1" s="128"/>
      <c r="AMA1" s="128"/>
      <c r="AMB1" s="128"/>
      <c r="AMC1" s="128"/>
      <c r="AMD1" s="128"/>
      <c r="AME1" s="128"/>
    </row>
    <row r="2" spans="1:1020" ht="15">
      <c r="A2" s="128" t="s">
        <v>303</v>
      </c>
      <c r="B2" s="128"/>
      <c r="C2" s="296" t="s">
        <v>818</v>
      </c>
      <c r="D2" s="128"/>
      <c r="E2" s="297" t="s">
        <v>819</v>
      </c>
      <c r="F2" s="128"/>
      <c r="G2" s="128"/>
      <c r="H2" s="593"/>
      <c r="I2" s="593"/>
      <c r="J2" s="295"/>
      <c r="K2" s="96"/>
      <c r="L2" s="96"/>
      <c r="M2" s="96"/>
      <c r="N2" s="96"/>
      <c r="O2" s="96"/>
      <c r="P2" s="96"/>
      <c r="Q2" s="96"/>
      <c r="R2" s="96"/>
      <c r="S2" s="96"/>
      <c r="T2" s="96"/>
      <c r="U2" s="96"/>
      <c r="V2" s="96"/>
      <c r="W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T2" s="128"/>
      <c r="ALU2" s="128"/>
      <c r="ALV2" s="128"/>
      <c r="ALW2" s="128"/>
      <c r="ALX2" s="128"/>
      <c r="ALY2" s="128"/>
      <c r="ALZ2" s="128"/>
      <c r="AMA2" s="128"/>
      <c r="AMB2" s="128"/>
      <c r="AMC2" s="128"/>
      <c r="AMD2" s="128"/>
      <c r="AME2" s="128"/>
    </row>
    <row r="3" spans="1:1020" ht="15">
      <c r="A3" s="128"/>
      <c r="B3" s="128"/>
      <c r="C3" s="298" t="s">
        <v>821</v>
      </c>
      <c r="D3" s="128"/>
      <c r="E3" s="299" t="s">
        <v>822</v>
      </c>
      <c r="F3" s="128"/>
      <c r="G3" s="128"/>
      <c r="H3" s="96"/>
      <c r="I3" s="5"/>
      <c r="J3" s="5"/>
      <c r="K3" s="96"/>
      <c r="L3" s="96"/>
      <c r="M3" s="96"/>
      <c r="N3" s="96"/>
      <c r="O3" s="96"/>
      <c r="P3" s="96"/>
      <c r="Q3" s="96"/>
      <c r="R3" s="96"/>
      <c r="S3" s="96"/>
      <c r="T3" s="96"/>
      <c r="U3" s="96"/>
      <c r="V3" s="96"/>
      <c r="W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T3" s="128"/>
      <c r="ALU3" s="128"/>
      <c r="ALV3" s="128"/>
      <c r="ALW3" s="128"/>
      <c r="ALX3" s="128"/>
      <c r="ALY3" s="128"/>
      <c r="ALZ3" s="128"/>
      <c r="AMA3" s="128"/>
      <c r="AMB3" s="128"/>
      <c r="AMC3" s="128"/>
      <c r="AMD3" s="128"/>
      <c r="AME3" s="128"/>
    </row>
    <row r="4" spans="1:1020" ht="15">
      <c r="A4" s="128"/>
      <c r="B4" s="128"/>
      <c r="C4" s="300" t="s">
        <v>824</v>
      </c>
      <c r="D4" s="128"/>
      <c r="E4" s="301" t="s">
        <v>825</v>
      </c>
      <c r="F4" s="128"/>
      <c r="G4" s="137" t="s">
        <v>1620</v>
      </c>
      <c r="H4" s="96"/>
      <c r="I4" s="5"/>
      <c r="J4" s="5"/>
      <c r="K4" s="96"/>
      <c r="L4" s="96"/>
      <c r="M4" s="96"/>
      <c r="N4" s="96"/>
      <c r="O4" s="96"/>
      <c r="P4" s="96"/>
      <c r="Q4" s="96"/>
      <c r="R4" s="96"/>
      <c r="S4" s="96"/>
      <c r="T4" s="96"/>
      <c r="U4" s="96"/>
      <c r="V4" s="96"/>
      <c r="W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T4" s="128"/>
      <c r="ALU4" s="128"/>
      <c r="ALV4" s="128"/>
      <c r="ALW4" s="128"/>
      <c r="ALX4" s="128"/>
      <c r="ALY4" s="128"/>
      <c r="ALZ4" s="128"/>
      <c r="AMA4" s="128"/>
      <c r="AMB4" s="128"/>
      <c r="AMC4" s="128"/>
      <c r="AMD4" s="128"/>
      <c r="AME4" s="128"/>
    </row>
    <row r="5" spans="1:1020" ht="15">
      <c r="A5" s="128"/>
      <c r="B5" s="128"/>
      <c r="C5" s="145" t="s">
        <v>826</v>
      </c>
      <c r="D5" s="146" t="s">
        <v>1620</v>
      </c>
      <c r="E5" s="408" t="s">
        <v>912</v>
      </c>
      <c r="F5" s="146" t="s">
        <v>1620</v>
      </c>
      <c r="G5" s="148"/>
      <c r="H5" s="148"/>
      <c r="I5" s="409"/>
      <c r="J5" s="409"/>
      <c r="K5" s="148"/>
      <c r="L5" s="148"/>
      <c r="M5" s="148"/>
      <c r="N5" s="148"/>
      <c r="O5" s="148"/>
      <c r="P5" s="148"/>
      <c r="Q5" s="148"/>
      <c r="R5" s="148"/>
      <c r="S5" s="148"/>
      <c r="T5" s="148"/>
      <c r="U5" s="148"/>
      <c r="V5" s="148"/>
      <c r="W5" s="148"/>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9"/>
      <c r="ALT5" s="147"/>
      <c r="ALU5" s="147"/>
      <c r="ALV5" s="147"/>
      <c r="ALW5" s="147"/>
      <c r="ALX5" s="147"/>
      <c r="ALY5" s="147"/>
      <c r="ALZ5" s="147"/>
      <c r="AMA5" s="147"/>
      <c r="AMB5" s="147"/>
      <c r="AMC5" s="147"/>
      <c r="AMD5" s="147"/>
      <c r="AME5" s="147"/>
      <c r="AMF5" s="149"/>
    </row>
    <row r="6" spans="1:1020" ht="15">
      <c r="A6" s="128"/>
      <c r="B6" s="128"/>
      <c r="C6" s="303" t="s">
        <v>827</v>
      </c>
      <c r="D6" s="138" t="s">
        <v>1620</v>
      </c>
      <c r="E6" s="128"/>
      <c r="F6" s="138" t="s">
        <v>1620</v>
      </c>
      <c r="G6" s="96"/>
      <c r="H6" s="96"/>
      <c r="I6" s="5"/>
      <c r="J6" s="5"/>
      <c r="K6" s="96"/>
      <c r="L6" s="96"/>
      <c r="M6" s="96"/>
      <c r="N6" s="96"/>
      <c r="O6" s="96"/>
      <c r="P6" s="96"/>
      <c r="Q6" s="96"/>
      <c r="R6" s="96"/>
      <c r="S6" s="96"/>
      <c r="T6" s="96"/>
      <c r="U6" s="96"/>
      <c r="V6" s="96"/>
      <c r="W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T6" s="128"/>
      <c r="ALU6" s="128"/>
      <c r="ALV6" s="128"/>
      <c r="ALW6" s="128"/>
      <c r="ALX6" s="128"/>
      <c r="ALY6" s="128"/>
      <c r="ALZ6" s="128"/>
      <c r="AMA6" s="128"/>
      <c r="AMB6" s="128"/>
      <c r="AMC6" s="128"/>
      <c r="AMD6" s="128"/>
      <c r="AME6" s="128"/>
    </row>
    <row r="7" spans="1:1020" ht="14.25" customHeight="1">
      <c r="C7" s="138" t="s">
        <v>1620</v>
      </c>
      <c r="D7" s="410" t="s">
        <v>1620</v>
      </c>
      <c r="E7" s="304" t="s">
        <v>1620</v>
      </c>
      <c r="F7" s="304" t="s">
        <v>1620</v>
      </c>
      <c r="G7" s="96"/>
      <c r="H7" s="96"/>
      <c r="I7" s="5"/>
      <c r="J7" s="5"/>
      <c r="K7" s="96"/>
      <c r="L7" s="594" t="s">
        <v>828</v>
      </c>
      <c r="M7" s="594"/>
      <c r="N7" s="594"/>
      <c r="O7" s="594"/>
      <c r="P7" s="96"/>
      <c r="Q7" s="96"/>
      <c r="R7" s="96"/>
      <c r="S7" s="96"/>
      <c r="T7" s="96"/>
      <c r="U7" s="96"/>
      <c r="V7" s="606" t="s">
        <v>829</v>
      </c>
      <c r="W7" s="606"/>
      <c r="Y7" s="96"/>
      <c r="Z7" s="96"/>
      <c r="AA7" s="96"/>
      <c r="AB7" s="96"/>
      <c r="AC7" s="594" t="s">
        <v>830</v>
      </c>
      <c r="AD7" s="594"/>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T7" s="128"/>
      <c r="ALU7" s="128"/>
      <c r="ALV7" s="128"/>
      <c r="ALW7" s="128"/>
      <c r="ALX7" s="128"/>
      <c r="ALY7" s="128"/>
      <c r="ALZ7" s="128"/>
      <c r="AMA7" s="128"/>
      <c r="AMB7" s="128"/>
      <c r="AMC7" s="128"/>
      <c r="AMD7" s="128"/>
      <c r="AME7" s="128"/>
    </row>
    <row r="8" spans="1:1020" s="446" customFormat="1" ht="27.75" customHeight="1">
      <c r="A8" s="426" t="s">
        <v>831</v>
      </c>
      <c r="B8" s="427" t="s">
        <v>832</v>
      </c>
      <c r="C8" s="427" t="s">
        <v>833</v>
      </c>
      <c r="D8" s="427" t="s">
        <v>834</v>
      </c>
      <c r="E8" s="427" t="s">
        <v>835</v>
      </c>
      <c r="F8" s="427" t="s">
        <v>836</v>
      </c>
      <c r="G8" s="427" t="s">
        <v>837</v>
      </c>
      <c r="H8" s="428" t="s">
        <v>9</v>
      </c>
      <c r="I8" s="428" t="s">
        <v>838</v>
      </c>
      <c r="J8" s="428" t="s">
        <v>841</v>
      </c>
      <c r="K8" s="428" t="s">
        <v>842</v>
      </c>
      <c r="L8" s="437" t="s">
        <v>843</v>
      </c>
      <c r="M8" s="437" t="s">
        <v>844</v>
      </c>
      <c r="N8" s="437" t="s">
        <v>845</v>
      </c>
      <c r="O8" s="437" t="s">
        <v>846</v>
      </c>
      <c r="P8" s="437" t="s">
        <v>847</v>
      </c>
      <c r="Q8" s="428" t="s">
        <v>677</v>
      </c>
      <c r="R8" s="428" t="s">
        <v>3</v>
      </c>
      <c r="S8" s="428" t="s">
        <v>2462</v>
      </c>
      <c r="T8" s="428" t="s">
        <v>914</v>
      </c>
      <c r="U8" s="428" t="s">
        <v>849</v>
      </c>
      <c r="V8" s="429" t="s">
        <v>850</v>
      </c>
      <c r="W8" s="429" t="s">
        <v>851</v>
      </c>
      <c r="X8" s="441" t="s">
        <v>852</v>
      </c>
      <c r="Y8" s="442" t="s">
        <v>853</v>
      </c>
      <c r="Z8" s="442" t="s">
        <v>854</v>
      </c>
      <c r="AA8" s="443" t="s">
        <v>855</v>
      </c>
      <c r="AB8" s="442" t="s">
        <v>856</v>
      </c>
      <c r="AC8" s="442" t="s">
        <v>857</v>
      </c>
      <c r="AD8" s="444"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3"/>
      <c r="ALP8" s="3"/>
      <c r="ALQ8" s="3"/>
      <c r="ALR8" s="3"/>
      <c r="ALS8" s="3"/>
      <c r="ALT8" s="445"/>
      <c r="ALU8" s="445"/>
      <c r="ALV8" s="445"/>
      <c r="ALW8" s="445"/>
      <c r="ALX8" s="445"/>
      <c r="ALY8" s="445"/>
      <c r="ALZ8" s="445"/>
      <c r="AMA8" s="445"/>
      <c r="AMB8" s="445"/>
      <c r="AMC8" s="445"/>
      <c r="AMD8" s="445"/>
      <c r="AME8" s="445"/>
      <c r="AMF8" s="445"/>
    </row>
    <row r="9" spans="1:1020" ht="15" customHeight="1">
      <c r="A9" s="425">
        <v>1</v>
      </c>
      <c r="B9" s="322" t="s">
        <v>2486</v>
      </c>
      <c r="C9" s="451"/>
      <c r="D9" s="322"/>
      <c r="E9" s="415"/>
      <c r="F9" s="415"/>
      <c r="G9" s="415"/>
      <c r="H9" s="317" t="s">
        <v>2487</v>
      </c>
      <c r="I9" s="417"/>
      <c r="J9" s="399"/>
      <c r="K9" s="317" t="s">
        <v>2488</v>
      </c>
      <c r="L9" s="317"/>
      <c r="M9" s="317"/>
      <c r="N9" s="317"/>
      <c r="O9" s="317"/>
      <c r="P9" s="317"/>
      <c r="Q9" s="417" t="s">
        <v>820</v>
      </c>
      <c r="R9" s="342"/>
      <c r="S9" s="342" t="s">
        <v>863</v>
      </c>
      <c r="T9" s="418"/>
      <c r="U9" s="418"/>
      <c r="V9" s="418" t="s">
        <v>864</v>
      </c>
      <c r="W9" s="418" t="s">
        <v>864</v>
      </c>
    </row>
    <row r="10" spans="1:1020" ht="15" customHeight="1">
      <c r="A10" s="415">
        <v>2</v>
      </c>
      <c r="B10" s="322" t="s">
        <v>2489</v>
      </c>
      <c r="C10" s="451"/>
      <c r="D10" s="322"/>
      <c r="E10" s="415"/>
      <c r="F10" s="415"/>
      <c r="G10" s="415"/>
      <c r="H10" s="317" t="s">
        <v>2490</v>
      </c>
      <c r="I10" s="417"/>
      <c r="J10" s="399"/>
      <c r="K10" s="317" t="s">
        <v>2491</v>
      </c>
      <c r="L10" s="317"/>
      <c r="M10" s="317"/>
      <c r="N10" s="317"/>
      <c r="O10" s="317"/>
      <c r="P10" s="317"/>
      <c r="Q10" s="333" t="s">
        <v>817</v>
      </c>
      <c r="R10" s="345"/>
      <c r="S10" s="345" t="s">
        <v>2124</v>
      </c>
      <c r="T10" s="422"/>
      <c r="U10" s="422"/>
      <c r="V10" s="422" t="s">
        <v>864</v>
      </c>
      <c r="W10" s="422" t="s">
        <v>864</v>
      </c>
    </row>
    <row r="11" spans="1:1020" ht="15">
      <c r="A11" s="415">
        <v>3</v>
      </c>
      <c r="B11" s="322" t="s">
        <v>2492</v>
      </c>
      <c r="C11" s="339"/>
      <c r="D11" s="322"/>
      <c r="E11" s="415"/>
      <c r="F11" s="415"/>
      <c r="G11" s="415"/>
      <c r="H11" s="317" t="s">
        <v>2493</v>
      </c>
      <c r="I11" s="417"/>
      <c r="J11" s="399"/>
      <c r="K11" s="317" t="s">
        <v>2494</v>
      </c>
      <c r="L11" s="317"/>
      <c r="M11" s="317"/>
      <c r="N11" s="317"/>
      <c r="O11" s="317"/>
      <c r="P11" s="317"/>
      <c r="Q11" s="333" t="s">
        <v>817</v>
      </c>
      <c r="R11" s="342"/>
      <c r="S11" s="342" t="s">
        <v>863</v>
      </c>
      <c r="T11" s="418"/>
      <c r="U11" s="418"/>
      <c r="V11" s="418" t="s">
        <v>864</v>
      </c>
      <c r="W11" s="418" t="s">
        <v>864</v>
      </c>
    </row>
    <row r="12" spans="1:1020">
      <c r="A12">
        <f>SUBTOTAL(103,Tableau12[ID])</f>
        <v>3</v>
      </c>
      <c r="B12">
        <f>SUBTOTAL(103,Tableau12[Donnée (Niveau 1)])</f>
        <v>3</v>
      </c>
      <c r="C12">
        <f>SUBTOTAL(103,Tableau12[Donnée (Niveau 2)])</f>
        <v>0</v>
      </c>
      <c r="D12">
        <f>SUBTOTAL(103,Tableau12[Donnée (Niveau 3)])</f>
        <v>0</v>
      </c>
      <c r="E12">
        <f>SUBTOTAL(103,Tableau12[Donnée (Niveau 4)])</f>
        <v>0</v>
      </c>
      <c r="F12">
        <f>SUBTOTAL(103,Tableau12[Donnée (Niveau 5)])</f>
        <v>0</v>
      </c>
      <c r="G12">
        <f>SUBTOTAL(103,Tableau12[Donnée (Niveau 6)])</f>
        <v>0</v>
      </c>
      <c r="H12">
        <f>SUBTOTAL(103,Tableau12[Description])</f>
        <v>3</v>
      </c>
      <c r="I12">
        <f>SUBTOTAL(103,Tableau12[Exemples])</f>
        <v>0</v>
      </c>
      <c r="J12">
        <f>SUBTOTAL(103,Tableau12[Balise NexSIS])</f>
        <v>0</v>
      </c>
      <c r="K12">
        <f>SUBTOTAL(103,Tableau12[Nouvelle balise])</f>
        <v>3</v>
      </c>
      <c r="L12">
        <f>SUBTOTAL(103,Tableau12[Nantes - balise])</f>
        <v>0</v>
      </c>
      <c r="M12">
        <f>SUBTOTAL(103,Tableau12[Nantes - description])</f>
        <v>0</v>
      </c>
      <c r="N12">
        <f>SUBTOTAL(103,Tableau12[GT399])</f>
        <v>0</v>
      </c>
      <c r="O12">
        <f>SUBTOTAL(103,Tableau12[GT399 description])</f>
        <v>0</v>
      </c>
      <c r="P12">
        <f>SUBTOTAL(103,Tableau12[Priorisation])</f>
        <v>0</v>
      </c>
      <c r="Q12">
        <f>SUBTOTAL(103,Tableau12[Cardinalité])</f>
        <v>3</v>
      </c>
      <c r="R12">
        <f>SUBTOTAL(103,Tableau12[Objet])</f>
        <v>0</v>
      </c>
      <c r="S12">
        <f>SUBTOTAL(103,Tableau12[Format (ou type)])</f>
        <v>3</v>
      </c>
      <c r="T12">
        <f>SUBTOTAL(103,Tableau12[Nomenclature/ énumération])</f>
        <v>0</v>
      </c>
      <c r="U12">
        <f>SUBTOTAL(103,Tableau12[Détails de format])</f>
        <v>0</v>
      </c>
      <c r="V12">
        <f>SUBTOTAL(103,Tableau12[15-18])</f>
        <v>3</v>
      </c>
      <c r="W12">
        <f>SUBTOTAL(103,Tableau12[15-15])</f>
        <v>3</v>
      </c>
    </row>
    <row r="13" spans="1:1020">
      <c r="E13" s="57"/>
    </row>
  </sheetData>
  <mergeCells count="5">
    <mergeCell ref="H1:I2"/>
    <mergeCell ref="V7:W7"/>
    <mergeCell ref="AC7:AD7"/>
    <mergeCell ref="O1:P1"/>
    <mergeCell ref="L7:O7"/>
  </mergeCells>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334FE-C38B-4876-9C00-6073EB9F7D72}">
  <dimension ref="A1:AMA9"/>
  <sheetViews>
    <sheetView workbookViewId="0">
      <pane xSplit="7" ySplit="8" topLeftCell="H9" activePane="bottomRight" state="frozen"/>
      <selection pane="bottomRight" activeCell="A9" sqref="A9"/>
      <selection pane="bottomLeft"/>
      <selection pane="topRight"/>
    </sheetView>
  </sheetViews>
  <sheetFormatPr defaultColWidth="9" defaultRowHeight="14.25"/>
  <cols>
    <col min="1" max="1" width="4.625" customWidth="1"/>
    <col min="2" max="2" width="27.125" customWidth="1"/>
    <col min="3" max="3" width="24.625" customWidth="1"/>
    <col min="4" max="4" width="12.5" customWidth="1"/>
    <col min="5" max="5" width="12.625" customWidth="1"/>
    <col min="6" max="7" width="13" bestFit="1" customWidth="1"/>
    <col min="8" max="8" width="37.125" customWidth="1"/>
    <col min="9" max="10" width="26.5" customWidth="1"/>
    <col min="11" max="11" width="13" bestFit="1" customWidth="1"/>
    <col min="12" max="12" width="2.125" customWidth="1"/>
    <col min="13" max="16" width="2" customWidth="1"/>
    <col min="17" max="17" width="5.375" customWidth="1"/>
    <col min="18" max="18" width="11" bestFit="1" customWidth="1"/>
    <col min="21" max="21" width="7.375" customWidth="1"/>
    <col min="22" max="22" width="11" bestFit="1" customWidth="1"/>
    <col min="24" max="24" width="4.125" bestFit="1" customWidth="1"/>
    <col min="25" max="31" width="9" customWidth="1"/>
  </cols>
  <sheetData>
    <row r="1" spans="1:1015" ht="14.25" customHeight="1">
      <c r="A1" s="272" t="s">
        <v>2495</v>
      </c>
      <c r="B1" s="272"/>
      <c r="C1" s="129" t="s">
        <v>813</v>
      </c>
      <c r="D1" s="128"/>
      <c r="E1" s="294" t="s">
        <v>814</v>
      </c>
      <c r="F1" s="128"/>
      <c r="G1" s="128"/>
      <c r="H1" s="593" t="s">
        <v>1620</v>
      </c>
      <c r="I1" s="593"/>
      <c r="J1" s="295"/>
      <c r="K1" s="96"/>
      <c r="L1" s="96"/>
      <c r="M1" s="96"/>
      <c r="N1" s="96"/>
      <c r="O1" s="605" t="s">
        <v>816</v>
      </c>
      <c r="P1" s="605"/>
      <c r="Q1" s="96"/>
      <c r="R1" s="96"/>
      <c r="S1" s="96"/>
      <c r="T1" s="96"/>
      <c r="U1" s="96"/>
      <c r="V1" s="96"/>
      <c r="W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O1" s="128"/>
      <c r="ALP1" s="128"/>
      <c r="ALQ1" s="128"/>
      <c r="ALR1" s="128"/>
      <c r="ALS1" s="128"/>
      <c r="ALT1" s="128"/>
      <c r="ALU1" s="128"/>
      <c r="ALV1" s="128"/>
      <c r="ALW1" s="128"/>
      <c r="ALX1" s="128"/>
      <c r="ALY1" s="128"/>
      <c r="ALZ1" s="128"/>
    </row>
    <row r="2" spans="1:1015" ht="15">
      <c r="A2" s="128"/>
      <c r="B2" s="128"/>
      <c r="C2" s="296" t="s">
        <v>818</v>
      </c>
      <c r="D2" s="128"/>
      <c r="E2" s="297" t="s">
        <v>819</v>
      </c>
      <c r="F2" s="128"/>
      <c r="G2" s="128"/>
      <c r="H2" s="593"/>
      <c r="I2" s="593"/>
      <c r="J2" s="295"/>
      <c r="K2" s="96"/>
      <c r="L2" s="96"/>
      <c r="M2" s="96"/>
      <c r="N2" s="96"/>
      <c r="O2" s="96"/>
      <c r="P2" s="96"/>
      <c r="Q2" s="96"/>
      <c r="R2" s="96"/>
      <c r="S2" s="96"/>
      <c r="T2" s="96"/>
      <c r="U2" s="96"/>
      <c r="V2" s="96"/>
      <c r="W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O2" s="128"/>
      <c r="ALP2" s="128"/>
      <c r="ALQ2" s="128"/>
      <c r="ALR2" s="128"/>
      <c r="ALS2" s="128"/>
      <c r="ALT2" s="128"/>
      <c r="ALU2" s="128"/>
      <c r="ALV2" s="128"/>
      <c r="ALW2" s="128"/>
      <c r="ALX2" s="128"/>
      <c r="ALY2" s="128"/>
      <c r="ALZ2" s="128"/>
    </row>
    <row r="3" spans="1:1015" ht="15">
      <c r="A3" s="128"/>
      <c r="B3" s="128"/>
      <c r="C3" s="298" t="s">
        <v>821</v>
      </c>
      <c r="D3" s="128"/>
      <c r="E3" s="299" t="s">
        <v>822</v>
      </c>
      <c r="F3" s="128"/>
      <c r="G3" s="128"/>
      <c r="H3" s="96"/>
      <c r="I3" s="5"/>
      <c r="J3" s="5"/>
      <c r="K3" s="96"/>
      <c r="L3" s="96"/>
      <c r="M3" s="96"/>
      <c r="N3" s="96"/>
      <c r="O3" s="96"/>
      <c r="P3" s="96"/>
      <c r="Q3" s="96"/>
      <c r="R3" s="96"/>
      <c r="S3" s="96"/>
      <c r="T3" s="96"/>
      <c r="U3" s="96"/>
      <c r="V3" s="96"/>
      <c r="W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O3" s="128"/>
      <c r="ALP3" s="128"/>
      <c r="ALQ3" s="128"/>
      <c r="ALR3" s="128"/>
      <c r="ALS3" s="128"/>
      <c r="ALT3" s="128"/>
      <c r="ALU3" s="128"/>
      <c r="ALV3" s="128"/>
      <c r="ALW3" s="128"/>
      <c r="ALX3" s="128"/>
      <c r="ALY3" s="128"/>
      <c r="ALZ3" s="128"/>
    </row>
    <row r="4" spans="1:1015" ht="15">
      <c r="A4" s="128"/>
      <c r="B4" s="128"/>
      <c r="C4" s="300" t="s">
        <v>824</v>
      </c>
      <c r="D4" s="128"/>
      <c r="E4" s="301" t="s">
        <v>825</v>
      </c>
      <c r="F4" s="128"/>
      <c r="G4" s="137" t="s">
        <v>1620</v>
      </c>
      <c r="H4" s="96"/>
      <c r="I4" s="5"/>
      <c r="J4" s="5"/>
      <c r="K4" s="96"/>
      <c r="L4" s="96"/>
      <c r="M4" s="96"/>
      <c r="N4" s="96"/>
      <c r="O4" s="96"/>
      <c r="P4" s="96"/>
      <c r="Q4" s="96"/>
      <c r="R4" s="96"/>
      <c r="S4" s="96"/>
      <c r="T4" s="96"/>
      <c r="U4" s="96"/>
      <c r="V4" s="96"/>
      <c r="W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O4" s="128"/>
      <c r="ALP4" s="128"/>
      <c r="ALQ4" s="128"/>
      <c r="ALR4" s="128"/>
      <c r="ALS4" s="128"/>
      <c r="ALT4" s="128"/>
      <c r="ALU4" s="128"/>
      <c r="ALV4" s="128"/>
      <c r="ALW4" s="128"/>
      <c r="ALX4" s="128"/>
      <c r="ALY4" s="128"/>
      <c r="ALZ4" s="128"/>
    </row>
    <row r="5" spans="1:1015" ht="15">
      <c r="A5" s="128"/>
      <c r="B5" s="128"/>
      <c r="C5" s="145" t="s">
        <v>826</v>
      </c>
      <c r="D5" s="146" t="s">
        <v>1620</v>
      </c>
      <c r="E5" s="408" t="s">
        <v>912</v>
      </c>
      <c r="F5" s="146" t="s">
        <v>1620</v>
      </c>
      <c r="G5" s="148"/>
      <c r="H5" s="148"/>
      <c r="I5" s="409"/>
      <c r="J5" s="409"/>
      <c r="K5" s="148"/>
      <c r="L5" s="148"/>
      <c r="M5" s="148"/>
      <c r="N5" s="148"/>
      <c r="O5" s="148"/>
      <c r="P5" s="148"/>
      <c r="Q5" s="148"/>
      <c r="R5" s="148"/>
      <c r="S5" s="148"/>
      <c r="T5" s="148"/>
      <c r="U5" s="148"/>
      <c r="V5" s="148"/>
      <c r="W5" s="148"/>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9"/>
      <c r="ALO5" s="147"/>
      <c r="ALP5" s="147"/>
      <c r="ALQ5" s="147"/>
      <c r="ALR5" s="147"/>
      <c r="ALS5" s="147"/>
      <c r="ALT5" s="147"/>
      <c r="ALU5" s="147"/>
      <c r="ALV5" s="147"/>
      <c r="ALW5" s="147"/>
      <c r="ALX5" s="147"/>
      <c r="ALY5" s="147"/>
      <c r="ALZ5" s="147"/>
      <c r="AMA5" s="149"/>
    </row>
    <row r="6" spans="1:1015" ht="15">
      <c r="A6" s="128"/>
      <c r="B6" s="128"/>
      <c r="C6" s="303" t="s">
        <v>827</v>
      </c>
      <c r="D6" s="138" t="s">
        <v>1620</v>
      </c>
      <c r="E6" s="128"/>
      <c r="F6" s="138" t="s">
        <v>1620</v>
      </c>
      <c r="G6" s="96"/>
      <c r="H6" s="96"/>
      <c r="I6" s="5"/>
      <c r="J6" s="5"/>
      <c r="K6" s="96"/>
      <c r="L6" s="96"/>
      <c r="M6" s="96"/>
      <c r="N6" s="96"/>
      <c r="O6" s="96"/>
      <c r="P6" s="96"/>
      <c r="Q6" s="96"/>
      <c r="R6" s="96"/>
      <c r="S6" s="96"/>
      <c r="T6" s="96"/>
      <c r="U6" s="96"/>
      <c r="V6" s="96"/>
      <c r="W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O6" s="128"/>
      <c r="ALP6" s="128"/>
      <c r="ALQ6" s="128"/>
      <c r="ALR6" s="128"/>
      <c r="ALS6" s="128"/>
      <c r="ALT6" s="128"/>
      <c r="ALU6" s="128"/>
      <c r="ALV6" s="128"/>
      <c r="ALW6" s="128"/>
      <c r="ALX6" s="128"/>
      <c r="ALY6" s="128"/>
      <c r="ALZ6" s="128"/>
    </row>
    <row r="7" spans="1:1015" ht="14.25" customHeight="1">
      <c r="C7" s="138" t="s">
        <v>1620</v>
      </c>
      <c r="D7" s="410" t="s">
        <v>1620</v>
      </c>
      <c r="E7" s="304" t="s">
        <v>1620</v>
      </c>
      <c r="F7" s="304" t="s">
        <v>1620</v>
      </c>
      <c r="G7" s="96"/>
      <c r="H7" s="96"/>
      <c r="I7" s="5"/>
      <c r="J7" s="5"/>
      <c r="K7" s="96"/>
      <c r="L7" s="594" t="s">
        <v>828</v>
      </c>
      <c r="M7" s="594"/>
      <c r="N7" s="594"/>
      <c r="O7" s="594"/>
      <c r="P7" s="96"/>
      <c r="Q7" s="96"/>
      <c r="R7" s="96"/>
      <c r="S7" s="96"/>
      <c r="T7" s="96"/>
      <c r="U7" s="96"/>
      <c r="V7" s="411" t="s">
        <v>829</v>
      </c>
      <c r="W7" s="411"/>
      <c r="Y7" s="96"/>
      <c r="Z7" s="96"/>
      <c r="AA7" s="96"/>
      <c r="AB7" s="96"/>
      <c r="AC7" s="594" t="s">
        <v>830</v>
      </c>
      <c r="AD7" s="594"/>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O7" s="128"/>
      <c r="ALP7" s="128"/>
      <c r="ALQ7" s="128"/>
      <c r="ALR7" s="128"/>
      <c r="ALS7" s="128"/>
      <c r="ALT7" s="128"/>
      <c r="ALU7" s="128"/>
      <c r="ALV7" s="128"/>
      <c r="ALW7" s="128"/>
      <c r="ALX7" s="128"/>
      <c r="ALY7" s="128"/>
      <c r="ALZ7" s="128"/>
    </row>
    <row r="8" spans="1:1015" s="446" customFormat="1" ht="27.75" customHeight="1">
      <c r="A8" s="458" t="s">
        <v>831</v>
      </c>
      <c r="B8" s="459" t="s">
        <v>832</v>
      </c>
      <c r="C8" s="459" t="s">
        <v>833</v>
      </c>
      <c r="D8" s="459" t="s">
        <v>834</v>
      </c>
      <c r="E8" s="459" t="s">
        <v>835</v>
      </c>
      <c r="F8" s="459" t="s">
        <v>836</v>
      </c>
      <c r="G8" s="459" t="s">
        <v>837</v>
      </c>
      <c r="H8" s="460" t="s">
        <v>9</v>
      </c>
      <c r="I8" s="460" t="s">
        <v>838</v>
      </c>
      <c r="J8" s="460" t="s">
        <v>841</v>
      </c>
      <c r="K8" s="460" t="s">
        <v>842</v>
      </c>
      <c r="L8" s="461" t="s">
        <v>843</v>
      </c>
      <c r="M8" s="461" t="s">
        <v>844</v>
      </c>
      <c r="N8" s="461" t="s">
        <v>845</v>
      </c>
      <c r="O8" s="461" t="s">
        <v>846</v>
      </c>
      <c r="P8" s="461" t="s">
        <v>847</v>
      </c>
      <c r="Q8" s="460" t="s">
        <v>677</v>
      </c>
      <c r="R8" s="462" t="s">
        <v>3</v>
      </c>
      <c r="S8" s="428" t="s">
        <v>2462</v>
      </c>
      <c r="T8" s="428" t="s">
        <v>914</v>
      </c>
      <c r="U8" s="428" t="s">
        <v>849</v>
      </c>
      <c r="V8" s="429" t="s">
        <v>850</v>
      </c>
      <c r="W8" s="429" t="s">
        <v>851</v>
      </c>
      <c r="X8" s="441" t="s">
        <v>852</v>
      </c>
      <c r="Y8" s="442" t="s">
        <v>853</v>
      </c>
      <c r="Z8" s="442" t="s">
        <v>854</v>
      </c>
      <c r="AA8" s="443" t="s">
        <v>855</v>
      </c>
      <c r="AB8" s="442" t="s">
        <v>856</v>
      </c>
      <c r="AC8" s="442" t="s">
        <v>857</v>
      </c>
      <c r="AD8" s="444"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445"/>
      <c r="ALP8" s="445"/>
      <c r="ALQ8" s="445"/>
      <c r="ALR8" s="445"/>
      <c r="ALS8" s="445"/>
      <c r="ALT8" s="445"/>
      <c r="ALU8" s="445"/>
      <c r="ALV8" s="445"/>
      <c r="ALW8" s="445"/>
      <c r="ALX8" s="445"/>
      <c r="ALY8" s="445"/>
      <c r="ALZ8" s="445"/>
      <c r="AMA8" s="445"/>
    </row>
    <row r="9" spans="1:1015">
      <c r="A9" s="463">
        <v>0</v>
      </c>
      <c r="B9" s="463">
        <v>0</v>
      </c>
      <c r="C9" s="463">
        <v>0</v>
      </c>
      <c r="D9" s="463">
        <v>0</v>
      </c>
      <c r="E9" s="463">
        <v>0</v>
      </c>
      <c r="F9" s="463">
        <v>0</v>
      </c>
      <c r="G9" s="463">
        <v>0</v>
      </c>
      <c r="H9" s="463">
        <v>0</v>
      </c>
      <c r="I9" s="463">
        <v>0</v>
      </c>
      <c r="J9" s="463">
        <v>0</v>
      </c>
      <c r="K9" s="463">
        <v>0</v>
      </c>
      <c r="L9" s="463">
        <v>0</v>
      </c>
      <c r="M9" s="463">
        <v>0</v>
      </c>
      <c r="N9" s="463">
        <v>0</v>
      </c>
      <c r="O9" s="463">
        <v>0</v>
      </c>
      <c r="P9" s="463">
        <v>0</v>
      </c>
      <c r="Q9" s="463">
        <v>0</v>
      </c>
      <c r="R9" s="463">
        <v>0</v>
      </c>
      <c r="S9" s="463">
        <v>0</v>
      </c>
      <c r="T9" s="463">
        <v>0</v>
      </c>
      <c r="U9" s="463">
        <v>0</v>
      </c>
      <c r="V9" s="463">
        <v>0</v>
      </c>
      <c r="W9" s="463">
        <v>0</v>
      </c>
    </row>
  </sheetData>
  <mergeCells count="4">
    <mergeCell ref="O1:P1"/>
    <mergeCell ref="L7:O7"/>
    <mergeCell ref="AC7:AD7"/>
    <mergeCell ref="H1:I2"/>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22"/>
  <sheetViews>
    <sheetView topLeftCell="A22" workbookViewId="0">
      <selection activeCell="A23" sqref="A23"/>
    </sheetView>
  </sheetViews>
  <sheetFormatPr defaultColWidth="11" defaultRowHeight="14.25"/>
  <sheetData>
    <row r="22" spans="1:1">
      <c r="A22" s="465" t="s">
        <v>303</v>
      </c>
    </row>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2496</v>
      </c>
    </row>
    <row r="2" spans="2:6" s="4" customFormat="1"/>
    <row r="3" spans="2:6" s="134" customFormat="1">
      <c r="B3" s="133" t="s">
        <v>2497</v>
      </c>
      <c r="C3" s="135"/>
      <c r="D3" s="135"/>
      <c r="E3" s="135"/>
      <c r="F3" s="135"/>
    </row>
    <row r="4" spans="2:6" ht="18" customHeight="1">
      <c r="B4" s="131" t="s">
        <v>2498</v>
      </c>
    </row>
    <row r="5" spans="2:6" ht="18" customHeight="1">
      <c r="B5" s="131" t="s">
        <v>2499</v>
      </c>
    </row>
    <row r="6" spans="2:6" ht="18" customHeight="1">
      <c r="B6" s="131" t="s">
        <v>2500</v>
      </c>
    </row>
    <row r="7" spans="2:6" ht="18" customHeight="1">
      <c r="B7" s="131" t="s">
        <v>2501</v>
      </c>
    </row>
    <row r="8" spans="2:6" ht="18" customHeight="1">
      <c r="B8" s="131" t="s">
        <v>2502</v>
      </c>
    </row>
    <row r="9" spans="2:6" ht="24" customHeight="1">
      <c r="B9" s="607" t="s">
        <v>2503</v>
      </c>
      <c r="C9" s="607"/>
      <c r="D9" s="607"/>
      <c r="E9" s="607"/>
      <c r="F9" s="607"/>
    </row>
    <row r="10" spans="2:6" ht="14.25" customHeight="1">
      <c r="B10" s="608" t="s">
        <v>2504</v>
      </c>
      <c r="C10" s="608"/>
      <c r="D10" s="608"/>
      <c r="E10" s="608"/>
      <c r="F10" s="608"/>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defaultColWidth="9" defaultRowHeight="14.25"/>
  <cols>
    <col min="2" max="2" width="10.5" customWidth="1"/>
    <col min="1024" max="1024" width="9" customWidth="1"/>
  </cols>
  <sheetData>
    <row r="1" spans="1:14" ht="15.75">
      <c r="A1" s="8"/>
      <c r="B1" s="9" t="s">
        <v>648</v>
      </c>
      <c r="C1" s="10"/>
      <c r="D1" s="11"/>
      <c r="E1" s="10"/>
      <c r="F1" s="83"/>
      <c r="G1" s="11"/>
      <c r="H1" s="11"/>
      <c r="I1" s="84"/>
      <c r="J1" s="84"/>
      <c r="K1" s="609"/>
      <c r="L1" s="609"/>
      <c r="M1" s="609"/>
      <c r="N1" s="609"/>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75">
      <c r="A1" s="8"/>
      <c r="B1" s="9" t="s">
        <v>0</v>
      </c>
      <c r="C1" s="10"/>
      <c r="D1" s="11"/>
      <c r="E1" s="10"/>
      <c r="F1" s="97"/>
      <c r="G1" s="11"/>
      <c r="H1" s="11"/>
      <c r="I1" s="84"/>
      <c r="J1" s="84"/>
      <c r="K1" s="609"/>
      <c r="L1" s="609"/>
      <c r="M1" s="98"/>
    </row>
    <row r="2" spans="1:1024" ht="15">
      <c r="A2" s="16"/>
      <c r="B2" s="17" t="s">
        <v>1</v>
      </c>
      <c r="C2" s="18"/>
      <c r="D2" s="19"/>
      <c r="E2" s="20"/>
      <c r="F2" s="99"/>
      <c r="G2" s="3"/>
      <c r="H2" s="22"/>
      <c r="I2" s="100"/>
      <c r="J2" s="100"/>
      <c r="K2" s="101"/>
      <c r="L2" s="25"/>
      <c r="M2" s="102"/>
    </row>
    <row r="3" spans="1:1024" ht="45">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5">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57.7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0.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0">
      <c r="A11" s="35">
        <v>1</v>
      </c>
      <c r="B11" s="35" t="s">
        <v>26</v>
      </c>
      <c r="C11" s="35" t="s">
        <v>27</v>
      </c>
      <c r="D11" s="36" t="s">
        <v>28</v>
      </c>
      <c r="E11" s="36" t="s">
        <v>50</v>
      </c>
      <c r="F11" s="109"/>
      <c r="G11" s="3" t="s">
        <v>37</v>
      </c>
      <c r="H11" s="114" t="s">
        <v>52</v>
      </c>
      <c r="I11" s="7" t="s">
        <v>88</v>
      </c>
      <c r="J11" s="7" t="s">
        <v>698</v>
      </c>
      <c r="K11" s="115" t="s">
        <v>51</v>
      </c>
      <c r="L11" s="5" t="s">
        <v>711</v>
      </c>
      <c r="M11" s="5"/>
    </row>
    <row r="12" spans="1:1024" ht="114.7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3.5">
      <c r="A13" s="35">
        <v>1</v>
      </c>
      <c r="B13" s="35" t="s">
        <v>26</v>
      </c>
      <c r="C13" s="35" t="s">
        <v>27</v>
      </c>
      <c r="D13" s="36" t="s">
        <v>28</v>
      </c>
      <c r="E13" s="36" t="s">
        <v>56</v>
      </c>
      <c r="F13" s="109" t="s">
        <v>57</v>
      </c>
      <c r="G13" s="3" t="s">
        <v>37</v>
      </c>
      <c r="H13" s="117" t="s">
        <v>55</v>
      </c>
      <c r="I13" s="7" t="s">
        <v>88</v>
      </c>
      <c r="J13" s="7" t="s">
        <v>698</v>
      </c>
      <c r="K13" s="112" t="s">
        <v>58</v>
      </c>
      <c r="L13" s="5"/>
      <c r="M13" s="5"/>
    </row>
    <row r="14" spans="1:1024" ht="10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72">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00.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29.25">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defaultColWidth="8.5" defaultRowHeight="15"/>
  <cols>
    <col min="1" max="1" width="8.5" style="158"/>
    <col min="2" max="2" width="28.5" style="158" customWidth="1"/>
    <col min="3" max="3" width="25.5" style="158" customWidth="1"/>
    <col min="4" max="4" width="69" style="158" customWidth="1"/>
    <col min="5" max="16384" width="8.5" style="158"/>
  </cols>
  <sheetData>
    <row r="1" spans="2:4" ht="15.75" thickBot="1"/>
    <row r="2" spans="2:4" ht="18.75">
      <c r="B2" s="576" t="s">
        <v>726</v>
      </c>
      <c r="C2" s="577"/>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5.75"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zoomScale="87" zoomScaleNormal="40" workbookViewId="0">
      <selection activeCell="F28" sqref="F28"/>
    </sheetView>
  </sheetViews>
  <sheetFormatPr defaultColWidth="11" defaultRowHeight="14.25"/>
  <cols>
    <col min="1" max="1" width="39.875" style="193" customWidth="1"/>
    <col min="2" max="2" width="26.5" style="193" customWidth="1"/>
    <col min="3" max="4" width="17.5" style="193" customWidth="1"/>
    <col min="5" max="5" width="14" style="193" customWidth="1"/>
    <col min="6" max="6" width="46.375" style="193" customWidth="1"/>
    <col min="7" max="7" width="48.875" style="193" customWidth="1"/>
    <col min="8" max="8" width="57.875" style="193" customWidth="1"/>
    <col min="9" max="9" width="11" style="193"/>
    <col min="10" max="10" width="11" style="193" customWidth="1"/>
    <col min="11" max="16384" width="11" style="193"/>
  </cols>
  <sheetData>
    <row r="1" spans="1:20" ht="21" thickBot="1">
      <c r="A1" s="579" t="s">
        <v>742</v>
      </c>
      <c r="B1" s="580"/>
      <c r="C1" s="580"/>
      <c r="D1" s="580"/>
      <c r="E1" s="580"/>
      <c r="F1" s="580"/>
      <c r="G1" s="580"/>
      <c r="H1" s="581"/>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587" t="s">
        <v>753</v>
      </c>
      <c r="G12" s="587"/>
      <c r="H12" s="587"/>
      <c r="I12" s="203"/>
      <c r="J12" s="203"/>
      <c r="R12" s="196"/>
      <c r="S12" s="196"/>
      <c r="T12" s="196"/>
    </row>
    <row r="13" spans="1:20" ht="14.25" customHeight="1">
      <c r="B13" s="204" t="s">
        <v>754</v>
      </c>
      <c r="C13" s="204"/>
      <c r="D13" s="204"/>
      <c r="E13" s="204"/>
      <c r="F13" s="587" t="s">
        <v>755</v>
      </c>
      <c r="G13" s="587"/>
      <c r="H13" s="587"/>
      <c r="I13" s="204"/>
      <c r="J13" s="204"/>
      <c r="K13" s="204"/>
      <c r="L13" s="204"/>
      <c r="M13" s="204"/>
      <c r="N13" s="204"/>
      <c r="R13" s="196"/>
      <c r="S13" s="196"/>
      <c r="T13" s="196"/>
    </row>
    <row r="14" spans="1:20" ht="14.25" customHeight="1">
      <c r="B14" s="204" t="s">
        <v>756</v>
      </c>
      <c r="C14" s="204"/>
      <c r="D14" s="204"/>
      <c r="E14" s="204"/>
      <c r="F14" s="587" t="s">
        <v>755</v>
      </c>
      <c r="G14" s="587"/>
      <c r="H14" s="587"/>
      <c r="I14" s="204"/>
      <c r="J14" s="204"/>
      <c r="R14" s="196"/>
      <c r="S14" s="196"/>
      <c r="T14" s="196"/>
    </row>
    <row r="15" spans="1:20">
      <c r="B15" s="203" t="s">
        <v>757</v>
      </c>
      <c r="C15" s="203"/>
      <c r="D15" s="203"/>
      <c r="E15" s="203"/>
      <c r="F15" s="587" t="s">
        <v>755</v>
      </c>
      <c r="G15" s="587"/>
      <c r="H15" s="587"/>
      <c r="I15" s="203"/>
      <c r="J15" s="203"/>
      <c r="R15" s="196"/>
      <c r="S15" s="196"/>
      <c r="T15" s="196"/>
    </row>
    <row r="16" spans="1:20">
      <c r="B16" s="588"/>
      <c r="C16" s="588"/>
      <c r="D16" s="588"/>
      <c r="E16" s="588"/>
      <c r="F16" s="588"/>
      <c r="G16" s="588"/>
      <c r="H16" s="588"/>
      <c r="I16" s="588"/>
      <c r="J16" s="588"/>
      <c r="K16" s="588"/>
      <c r="L16" s="588"/>
      <c r="M16" s="588"/>
      <c r="N16" s="588"/>
      <c r="O16" s="588"/>
      <c r="P16" s="588"/>
      <c r="Q16" s="588"/>
    </row>
    <row r="17" spans="1:17" ht="15" thickBot="1">
      <c r="B17" s="588"/>
      <c r="C17" s="588"/>
      <c r="D17" s="588"/>
      <c r="E17" s="588"/>
      <c r="F17" s="588"/>
      <c r="G17" s="588"/>
      <c r="H17" s="588"/>
      <c r="I17" s="588"/>
      <c r="J17" s="588"/>
      <c r="K17" s="588"/>
      <c r="L17" s="588"/>
      <c r="M17" s="588"/>
      <c r="N17" s="588"/>
      <c r="O17" s="588"/>
      <c r="P17" s="588"/>
      <c r="Q17" s="588"/>
    </row>
    <row r="18" spans="1:17" ht="102.75" customHeight="1" thickBot="1">
      <c r="A18" s="582" t="s">
        <v>758</v>
      </c>
      <c r="B18" s="583"/>
      <c r="C18" s="583"/>
      <c r="D18" s="583"/>
      <c r="E18" s="583"/>
      <c r="F18" s="583"/>
      <c r="G18" s="583"/>
      <c r="H18" s="584"/>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588"/>
      <c r="C20" s="588"/>
      <c r="D20" s="588"/>
      <c r="E20" s="588"/>
      <c r="F20" s="588"/>
      <c r="G20" s="588"/>
      <c r="H20" s="588"/>
      <c r="I20" s="588"/>
      <c r="J20" s="588"/>
      <c r="K20" s="588"/>
      <c r="L20" s="588"/>
      <c r="M20" s="588"/>
      <c r="N20" s="588"/>
      <c r="O20" s="588"/>
      <c r="P20" s="588"/>
      <c r="Q20" s="588"/>
    </row>
    <row r="21" spans="1:17" ht="20.25">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28.5">
      <c r="A24" s="210" t="s">
        <v>768</v>
      </c>
      <c r="B24" s="211" t="s">
        <v>769</v>
      </c>
      <c r="C24" s="211" t="s">
        <v>770</v>
      </c>
      <c r="D24" s="211" t="s">
        <v>770</v>
      </c>
      <c r="E24" s="211" t="s">
        <v>770</v>
      </c>
      <c r="F24" s="211" t="s">
        <v>771</v>
      </c>
      <c r="G24" s="211" t="s">
        <v>771</v>
      </c>
      <c r="H24" s="211"/>
    </row>
    <row r="25" spans="1:17" ht="42.75">
      <c r="A25" s="210" t="s">
        <v>772</v>
      </c>
      <c r="B25" s="211" t="s">
        <v>773</v>
      </c>
      <c r="C25" s="211" t="s">
        <v>774</v>
      </c>
      <c r="D25" s="211" t="s">
        <v>770</v>
      </c>
      <c r="E25" s="211" t="s">
        <v>770</v>
      </c>
      <c r="F25" s="211" t="s">
        <v>775</v>
      </c>
      <c r="G25" s="211" t="s">
        <v>771</v>
      </c>
      <c r="H25" s="288" t="s">
        <v>776</v>
      </c>
    </row>
    <row r="26" spans="1:17" ht="45.75" customHeight="1">
      <c r="A26" s="208" t="s">
        <v>777</v>
      </c>
      <c r="B26" s="207" t="s">
        <v>778</v>
      </c>
      <c r="C26" s="207" t="s">
        <v>774</v>
      </c>
      <c r="D26" s="207" t="s">
        <v>770</v>
      </c>
      <c r="E26" s="207" t="s">
        <v>770</v>
      </c>
      <c r="F26" s="207" t="s">
        <v>779</v>
      </c>
      <c r="G26" s="207" t="s">
        <v>771</v>
      </c>
      <c r="H26" s="206" t="s">
        <v>780</v>
      </c>
    </row>
    <row r="27" spans="1:17" ht="57">
      <c r="A27" s="208" t="s">
        <v>781</v>
      </c>
      <c r="B27" s="207" t="s">
        <v>782</v>
      </c>
      <c r="C27" s="207" t="s">
        <v>774</v>
      </c>
      <c r="D27" s="207" t="s">
        <v>774</v>
      </c>
      <c r="E27" s="207" t="s">
        <v>770</v>
      </c>
      <c r="F27" s="207" t="s">
        <v>779</v>
      </c>
      <c r="G27" s="209" t="s">
        <v>783</v>
      </c>
      <c r="H27" s="206" t="s">
        <v>784</v>
      </c>
    </row>
    <row r="28" spans="1:17" ht="71.25">
      <c r="A28" s="208" t="s">
        <v>785</v>
      </c>
      <c r="B28" s="207" t="s">
        <v>786</v>
      </c>
      <c r="C28" s="207" t="s">
        <v>774</v>
      </c>
      <c r="D28" s="207" t="s">
        <v>774</v>
      </c>
      <c r="E28" s="207" t="s">
        <v>770</v>
      </c>
      <c r="F28" s="215" t="s">
        <v>787</v>
      </c>
      <c r="G28" s="209" t="s">
        <v>783</v>
      </c>
      <c r="H28" s="206"/>
    </row>
    <row r="29" spans="1:17" ht="57">
      <c r="A29" s="208" t="s">
        <v>788</v>
      </c>
      <c r="B29" s="207" t="s">
        <v>789</v>
      </c>
      <c r="C29" s="207" t="s">
        <v>774</v>
      </c>
      <c r="D29" s="207" t="s">
        <v>774</v>
      </c>
      <c r="E29" s="207" t="s">
        <v>770</v>
      </c>
      <c r="F29" s="206" t="s">
        <v>790</v>
      </c>
      <c r="G29" s="209" t="s">
        <v>783</v>
      </c>
      <c r="H29" s="206"/>
    </row>
    <row r="30" spans="1:17" ht="186.75">
      <c r="A30" s="586" t="s">
        <v>791</v>
      </c>
      <c r="B30" s="585" t="s">
        <v>792</v>
      </c>
      <c r="C30" s="585" t="s">
        <v>774</v>
      </c>
      <c r="D30" s="585" t="s">
        <v>774</v>
      </c>
      <c r="E30" s="585" t="s">
        <v>770</v>
      </c>
      <c r="F30" s="206" t="s">
        <v>793</v>
      </c>
      <c r="G30" s="578" t="s">
        <v>794</v>
      </c>
      <c r="H30" s="206" t="s">
        <v>795</v>
      </c>
    </row>
    <row r="31" spans="1:17" ht="114.75">
      <c r="A31" s="586"/>
      <c r="B31" s="585"/>
      <c r="C31" s="585"/>
      <c r="D31" s="585"/>
      <c r="E31" s="585"/>
      <c r="F31" s="209" t="s">
        <v>796</v>
      </c>
      <c r="G31" s="578"/>
      <c r="H31" s="206"/>
    </row>
    <row r="32" spans="1:17" ht="85.5">
      <c r="A32" s="208" t="s">
        <v>797</v>
      </c>
      <c r="B32" s="207" t="s">
        <v>798</v>
      </c>
      <c r="C32" s="207" t="s">
        <v>774</v>
      </c>
      <c r="D32" s="207" t="s">
        <v>774</v>
      </c>
      <c r="E32" s="207" t="s">
        <v>770</v>
      </c>
      <c r="F32" s="209" t="s">
        <v>799</v>
      </c>
      <c r="G32" s="209" t="s">
        <v>783</v>
      </c>
      <c r="H32" s="206" t="s">
        <v>800</v>
      </c>
    </row>
    <row r="33" spans="1:8" ht="29.25">
      <c r="A33" s="586" t="s">
        <v>801</v>
      </c>
      <c r="B33" s="585" t="s">
        <v>802</v>
      </c>
      <c r="C33" s="585" t="s">
        <v>774</v>
      </c>
      <c r="D33" s="585" t="s">
        <v>774</v>
      </c>
      <c r="E33" s="585" t="s">
        <v>770</v>
      </c>
      <c r="F33" s="209" t="s">
        <v>803</v>
      </c>
      <c r="G33" s="578" t="s">
        <v>783</v>
      </c>
      <c r="H33" s="206" t="s">
        <v>804</v>
      </c>
    </row>
    <row r="34" spans="1:8" ht="228.75">
      <c r="A34" s="586"/>
      <c r="B34" s="585"/>
      <c r="C34" s="585"/>
      <c r="D34" s="585"/>
      <c r="E34" s="585"/>
      <c r="F34" s="209" t="s">
        <v>805</v>
      </c>
      <c r="G34" s="578"/>
      <c r="H34" s="206" t="s">
        <v>806</v>
      </c>
    </row>
    <row r="35" spans="1:8" ht="57">
      <c r="A35" s="293" t="s">
        <v>807</v>
      </c>
      <c r="B35" s="207" t="s">
        <v>808</v>
      </c>
      <c r="C35" s="207" t="s">
        <v>774</v>
      </c>
      <c r="D35" s="207" t="s">
        <v>770</v>
      </c>
      <c r="E35" s="207" t="s">
        <v>770</v>
      </c>
      <c r="F35" s="209" t="s">
        <v>809</v>
      </c>
      <c r="G35" s="292"/>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B16:Q16"/>
    <mergeCell ref="B17:Q17"/>
    <mergeCell ref="B20:Q20"/>
    <mergeCell ref="F15:H15"/>
    <mergeCell ref="F14:H14"/>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115" zoomScaleNormal="115" workbookViewId="0">
      <pane xSplit="7" ySplit="8" topLeftCell="H9" activePane="bottomRight" state="frozen"/>
      <selection pane="bottomRight" activeCell="C26" sqref="C26"/>
      <selection pane="bottomLeft" activeCell="A9" sqref="A9"/>
      <selection pane="topRight" activeCell="G1" sqref="G1"/>
    </sheetView>
  </sheetViews>
  <sheetFormatPr defaultColWidth="9.5" defaultRowHeight="12" customHeight="1"/>
  <cols>
    <col min="1" max="1" width="3.875" style="128" customWidth="1"/>
    <col min="2" max="2" width="30.375" style="128" customWidth="1"/>
    <col min="3" max="3" width="25.5" style="128" customWidth="1"/>
    <col min="4" max="4" width="22.5" style="128" customWidth="1"/>
    <col min="5" max="5" width="6.375" style="128" customWidth="1"/>
    <col min="6" max="6" width="13.5" style="128" customWidth="1"/>
    <col min="7" max="7" width="13.5" style="96" customWidth="1"/>
    <col min="8" max="8" width="70.375" style="96" customWidth="1"/>
    <col min="9" max="9" width="17.5" style="96" customWidth="1"/>
    <col min="10" max="10" width="8.5" style="96" hidden="1" customWidth="1"/>
    <col min="11" max="11" width="11.375" style="96" hidden="1" customWidth="1"/>
    <col min="12" max="12" width="12" style="96" customWidth="1"/>
    <col min="13" max="13" width="13" style="159" customWidth="1"/>
    <col min="14" max="14" width="8.5" style="96" customWidth="1"/>
    <col min="15" max="15" width="12" style="96" hidden="1" customWidth="1"/>
    <col min="16" max="16" width="9.875" style="96" hidden="1" customWidth="1"/>
    <col min="17" max="17" width="11" style="96" hidden="1" customWidth="1"/>
    <col min="18" max="18" width="3.5" style="173" customWidth="1"/>
    <col min="19" max="19" width="3.875" style="96" customWidth="1"/>
    <col min="20" max="20" width="2.5" style="96" customWidth="1"/>
    <col min="21" max="21" width="18.5" style="96" customWidth="1"/>
    <col min="22" max="24" width="16" style="96" customWidth="1"/>
    <col min="25" max="25" width="2.37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589" t="s">
        <v>815</v>
      </c>
      <c r="J1" s="589"/>
      <c r="K1" s="589"/>
      <c r="L1" s="589"/>
      <c r="Q1" s="590" t="s">
        <v>816</v>
      </c>
      <c r="R1" s="590"/>
      <c r="S1" s="96" t="s">
        <v>817</v>
      </c>
      <c r="AC1" s="96"/>
      <c r="AE1" s="128"/>
      <c r="ALY1"/>
    </row>
    <row r="2" spans="1:1016" ht="15.95" customHeight="1">
      <c r="C2" s="141" t="s">
        <v>818</v>
      </c>
      <c r="D2" s="152" t="s">
        <v>819</v>
      </c>
      <c r="E2" s="157">
        <f>createCase8[[#Totals],[NexSIS]] / createCase8[[#Totals],[ID]]</f>
        <v>0.83333333333333337</v>
      </c>
      <c r="G2" s="128"/>
      <c r="H2" s="227"/>
      <c r="I2" s="589"/>
      <c r="J2" s="589"/>
      <c r="K2" s="589"/>
      <c r="L2" s="589"/>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591" t="s">
        <v>828</v>
      </c>
      <c r="O7" s="591"/>
      <c r="P7" s="591"/>
      <c r="Q7" s="591"/>
      <c r="W7" s="592" t="s">
        <v>829</v>
      </c>
      <c r="X7" s="592"/>
      <c r="AC7" s="591" t="s">
        <v>830</v>
      </c>
      <c r="AD7" s="591"/>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0"/>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0"/>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0"/>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0"/>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0"/>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0"/>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0"/>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0"/>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0"/>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0"/>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89"/>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89"/>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79" type="noConversion"/>
  <conditionalFormatting sqref="A22:F23 A43:F883">
    <cfRule type="expression" dxfId="1268" priority="37">
      <formula>OR($AD22="X",$AB22="X")</formula>
    </cfRule>
    <cfRule type="expression" dxfId="1267" priority="38">
      <formula>AND($AD22=1,$AB22=1)</formula>
    </cfRule>
    <cfRule type="expression" dxfId="1266" priority="39">
      <formula>$AD22=1</formula>
    </cfRule>
    <cfRule type="expression" dxfId="1265" priority="40">
      <formula>$AB22=1</formula>
    </cfRule>
  </conditionalFormatting>
  <conditionalFormatting sqref="A9:G20">
    <cfRule type="expression" dxfId="1264" priority="641">
      <formula>OR(#REF!="X",$AD9="X")</formula>
    </cfRule>
    <cfRule type="expression" dxfId="1263" priority="642">
      <formula>AND(#REF!=1,$AD9=1)</formula>
    </cfRule>
    <cfRule type="expression" dxfId="1262" priority="643">
      <formula>#REF!=1</formula>
    </cfRule>
    <cfRule type="expression" dxfId="1261" priority="644">
      <formula>$AD9=1</formula>
    </cfRule>
  </conditionalFormatting>
  <conditionalFormatting sqref="C9:C20">
    <cfRule type="expression" dxfId="1260" priority="1">
      <formula>AND($T9="X",$B9&lt;&gt;"")</formula>
    </cfRule>
  </conditionalFormatting>
  <conditionalFormatting sqref="C17:C19">
    <cfRule type="expression" dxfId="1259" priority="2">
      <formula>AND($T17="X",OR($B17&lt;&gt;"",$C17&lt;&gt;""))</formula>
    </cfRule>
  </conditionalFormatting>
  <conditionalFormatting sqref="D9:D20">
    <cfRule type="expression" dxfId="1258" priority="11">
      <formula>AND($T9="X",OR($B9&lt;&gt;"",$C9&lt;&gt;""))</formula>
    </cfRule>
  </conditionalFormatting>
  <conditionalFormatting sqref="D18:D19">
    <cfRule type="expression" dxfId="1257"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1256" priority="12">
      <formula>AND($T9="X",OR($B9&lt;&gt;"",$C9&lt;&gt;"",$D9&lt;&gt;""))</formula>
    </cfRule>
  </conditionalFormatting>
  <conditionalFormatting sqref="F9:F20">
    <cfRule type="expression" dxfId="1255" priority="13">
      <formula>AND($T9="X",OR($B9&lt;&gt;"",$C9&lt;&gt;"",$D9&lt;&gt;"",$E9&lt;&gt;""))</formula>
    </cfRule>
  </conditionalFormatting>
  <conditionalFormatting sqref="G9:G20">
    <cfRule type="expression" dxfId="1254" priority="14">
      <formula>AND($T9="X",OR($B9&lt;&gt;"",$C9&lt;&gt;"",$D9&lt;&gt;"",$E9&lt;&gt;"",$F9&lt;&gt;""))</formula>
    </cfRule>
  </conditionalFormatting>
  <conditionalFormatting sqref="H22:H23 H43:H883">
    <cfRule type="expression" dxfId="1253" priority="36">
      <formula>$S22="X"</formula>
    </cfRule>
  </conditionalFormatting>
  <conditionalFormatting sqref="I9:I20">
    <cfRule type="expression" dxfId="1252" priority="16">
      <formula>$T9="X"</formula>
    </cfRule>
  </conditionalFormatting>
  <conditionalFormatting sqref="S9:S20">
    <cfRule type="cellIs" dxfId="1251" priority="7" operator="equal">
      <formula>"1..1"</formula>
    </cfRule>
    <cfRule type="cellIs" dxfId="1250" priority="8" operator="equal">
      <formula>"0..n"</formula>
    </cfRule>
    <cfRule type="cellIs" dxfId="1249"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Normal="100" workbookViewId="0">
      <pane xSplit="7" ySplit="8" topLeftCell="H21" activePane="bottomRight" state="frozen"/>
      <selection pane="bottomRight" activeCell="E21" sqref="E21"/>
      <selection pane="bottomLeft" activeCell="A9" sqref="A9"/>
      <selection pane="topRight" activeCell="H1" sqref="H1"/>
    </sheetView>
  </sheetViews>
  <sheetFormatPr defaultColWidth="9.5" defaultRowHeight="12" customHeight="1"/>
  <cols>
    <col min="1" max="1" width="4.5" style="128" customWidth="1"/>
    <col min="2" max="2" width="34.125" style="128" customWidth="1"/>
    <col min="3" max="3" width="27.125" style="128" customWidth="1"/>
    <col min="4" max="4" width="13.125" style="128" customWidth="1"/>
    <col min="5" max="5" width="23.625" style="128" customWidth="1"/>
    <col min="6" max="6" width="10.125" style="128" customWidth="1"/>
    <col min="7" max="7" width="10.87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78" customWidth="1"/>
    <col min="21" max="23" width="16"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589" t="s">
        <v>911</v>
      </c>
      <c r="I1" s="589"/>
      <c r="J1" s="589"/>
      <c r="O1" s="590" t="s">
        <v>816</v>
      </c>
      <c r="P1" s="590"/>
      <c r="AC1" s="96"/>
      <c r="AE1"/>
      <c r="AF1" s="128"/>
      <c r="ALZ1"/>
    </row>
    <row r="2" spans="1:1017" ht="13.5" customHeight="1">
      <c r="C2" s="141" t="s">
        <v>818</v>
      </c>
      <c r="D2" s="285"/>
      <c r="E2" s="152" t="s">
        <v>819</v>
      </c>
      <c r="F2" s="157">
        <f>createCase3[[#Totals],[NexSIS]] / createCase3[[#Totals],[ID]]</f>
        <v>0.83333333333333337</v>
      </c>
      <c r="G2" s="128"/>
      <c r="H2" s="589"/>
      <c r="I2" s="589"/>
      <c r="J2" s="589"/>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591" t="s">
        <v>828</v>
      </c>
      <c r="M7" s="591"/>
      <c r="N7" s="591"/>
      <c r="O7" s="591"/>
      <c r="V7" s="592" t="s">
        <v>829</v>
      </c>
      <c r="W7" s="592"/>
      <c r="AC7" s="591" t="s">
        <v>830</v>
      </c>
      <c r="AD7" s="591"/>
      <c r="AE7"/>
      <c r="AF7" s="128"/>
      <c r="ALZ7"/>
    </row>
    <row r="8" spans="1:1017" s="238" customFormat="1" ht="27.95" customHeight="1">
      <c r="A8" s="233" t="s">
        <v>831</v>
      </c>
      <c r="B8" s="279"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7" s="224" customFormat="1" ht="13.5" customHeight="1">
      <c r="A9" s="225">
        <v>1</v>
      </c>
      <c r="B9" s="239" t="s">
        <v>916</v>
      </c>
      <c r="C9" s="240"/>
      <c r="D9" s="610"/>
      <c r="E9" s="610"/>
      <c r="F9" s="610"/>
      <c r="G9" s="610"/>
      <c r="H9" s="575" t="s">
        <v>917</v>
      </c>
      <c r="I9" s="611" t="s">
        <v>918</v>
      </c>
      <c r="J9" s="575"/>
      <c r="K9" s="611" t="s">
        <v>919</v>
      </c>
      <c r="L9" s="575"/>
      <c r="M9" s="575"/>
      <c r="N9" s="575"/>
      <c r="O9" s="575"/>
      <c r="P9" s="612"/>
      <c r="Q9" s="575" t="s">
        <v>820</v>
      </c>
      <c r="R9" s="575"/>
      <c r="S9" s="575" t="s">
        <v>863</v>
      </c>
      <c r="T9" s="613"/>
      <c r="U9" s="575"/>
      <c r="V9" s="614" t="s">
        <v>864</v>
      </c>
      <c r="W9" s="614" t="s">
        <v>864</v>
      </c>
      <c r="X9" s="232"/>
      <c r="Y9" s="615"/>
      <c r="Z9" s="575" t="s">
        <v>920</v>
      </c>
      <c r="AA9" s="616" t="s">
        <v>921</v>
      </c>
      <c r="AB9" s="575"/>
      <c r="AC9" s="613">
        <v>1</v>
      </c>
      <c r="AD9" s="613"/>
    </row>
    <row r="10" spans="1:1017" s="224" customFormat="1" ht="13.5" customHeight="1">
      <c r="A10" s="225">
        <v>2</v>
      </c>
      <c r="B10" s="239" t="s">
        <v>922</v>
      </c>
      <c r="C10" s="221"/>
      <c r="D10" s="221"/>
      <c r="E10" s="221"/>
      <c r="F10" s="221"/>
      <c r="G10" s="221"/>
      <c r="H10" s="575" t="s">
        <v>923</v>
      </c>
      <c r="I10" s="611" t="s">
        <v>924</v>
      </c>
      <c r="J10" s="575"/>
      <c r="K10" s="611" t="s">
        <v>925</v>
      </c>
      <c r="L10" s="575" t="s">
        <v>926</v>
      </c>
      <c r="M10" s="575" t="s">
        <v>927</v>
      </c>
      <c r="N10" s="575"/>
      <c r="O10" s="575"/>
      <c r="P10" s="612"/>
      <c r="Q10" s="575" t="s">
        <v>817</v>
      </c>
      <c r="R10" s="575"/>
      <c r="S10" s="575" t="s">
        <v>863</v>
      </c>
      <c r="T10" s="613"/>
      <c r="U10" s="575"/>
      <c r="V10" s="614" t="s">
        <v>864</v>
      </c>
      <c r="W10" s="614" t="s">
        <v>864</v>
      </c>
      <c r="X10" s="232"/>
      <c r="Y10" s="615"/>
      <c r="Z10" s="575"/>
      <c r="AA10" s="616"/>
      <c r="AB10" s="575"/>
      <c r="AC10" s="613"/>
      <c r="AD10" s="613"/>
    </row>
    <row r="11" spans="1:1017" s="224" customFormat="1" ht="13.5" customHeight="1">
      <c r="A11" s="225">
        <v>3</v>
      </c>
      <c r="B11" s="239" t="s">
        <v>928</v>
      </c>
      <c r="C11" s="240"/>
      <c r="D11" s="241"/>
      <c r="E11" s="241"/>
      <c r="F11" s="241"/>
      <c r="G11" s="241"/>
      <c r="H11" s="575" t="s">
        <v>929</v>
      </c>
      <c r="I11" s="611" t="s">
        <v>930</v>
      </c>
      <c r="J11" s="575"/>
      <c r="K11" s="611" t="s">
        <v>931</v>
      </c>
      <c r="L11" s="575"/>
      <c r="M11" s="575"/>
      <c r="N11" s="575"/>
      <c r="O11" s="575"/>
      <c r="P11" s="612"/>
      <c r="Q11" s="575" t="s">
        <v>820</v>
      </c>
      <c r="R11" s="575"/>
      <c r="S11" s="575" t="s">
        <v>879</v>
      </c>
      <c r="T11" s="613"/>
      <c r="U11" s="575" t="s">
        <v>932</v>
      </c>
      <c r="V11" s="614" t="s">
        <v>864</v>
      </c>
      <c r="W11" s="614" t="s">
        <v>864</v>
      </c>
      <c r="X11" s="232"/>
      <c r="Y11" s="615"/>
      <c r="Z11" s="575"/>
      <c r="AA11" s="616"/>
      <c r="AB11" s="575"/>
      <c r="AC11" s="613">
        <v>1</v>
      </c>
      <c r="AD11" s="613"/>
    </row>
    <row r="12" spans="1:1017" s="224" customFormat="1" ht="13.5" customHeight="1">
      <c r="A12" s="225">
        <v>4</v>
      </c>
      <c r="B12" s="239" t="s">
        <v>933</v>
      </c>
      <c r="C12" s="240"/>
      <c r="D12" s="241"/>
      <c r="E12" s="241"/>
      <c r="F12" s="241"/>
      <c r="G12" s="241"/>
      <c r="H12" s="575" t="s">
        <v>934</v>
      </c>
      <c r="I12" s="611" t="s">
        <v>935</v>
      </c>
      <c r="J12" s="575"/>
      <c r="K12" s="611" t="s">
        <v>936</v>
      </c>
      <c r="L12" s="575"/>
      <c r="M12" s="575"/>
      <c r="N12" s="575"/>
      <c r="O12" s="575"/>
      <c r="P12" s="612"/>
      <c r="Q12" s="575" t="s">
        <v>820</v>
      </c>
      <c r="R12" s="575"/>
      <c r="S12" s="575" t="s">
        <v>863</v>
      </c>
      <c r="T12" s="613"/>
      <c r="U12" s="575"/>
      <c r="V12" s="614" t="s">
        <v>864</v>
      </c>
      <c r="W12" s="614" t="s">
        <v>864</v>
      </c>
      <c r="X12" s="232"/>
      <c r="Y12" s="615"/>
      <c r="Z12" s="575"/>
      <c r="AA12" s="616"/>
      <c r="AB12" s="575"/>
      <c r="AC12" s="613">
        <v>1</v>
      </c>
      <c r="AD12" s="613"/>
    </row>
    <row r="13" spans="1:1017" s="224" customFormat="1" ht="13.5" customHeight="1">
      <c r="A13" s="225">
        <v>5</v>
      </c>
      <c r="B13" s="239" t="s">
        <v>937</v>
      </c>
      <c r="C13" s="240"/>
      <c r="D13" s="241"/>
      <c r="E13" s="241"/>
      <c r="F13" s="241"/>
      <c r="G13" s="241"/>
      <c r="H13" s="575" t="s">
        <v>938</v>
      </c>
      <c r="I13" s="611"/>
      <c r="J13" s="575"/>
      <c r="K13" s="611" t="s">
        <v>939</v>
      </c>
      <c r="L13" s="575"/>
      <c r="M13" s="575"/>
      <c r="N13" s="575"/>
      <c r="O13" s="575"/>
      <c r="P13" s="612"/>
      <c r="Q13" s="575" t="s">
        <v>820</v>
      </c>
      <c r="R13" s="575"/>
      <c r="S13" s="575" t="s">
        <v>863</v>
      </c>
      <c r="T13" s="613"/>
      <c r="U13" s="575"/>
      <c r="V13" s="614" t="s">
        <v>864</v>
      </c>
      <c r="W13" s="614" t="s">
        <v>864</v>
      </c>
      <c r="X13" s="232"/>
      <c r="Y13" s="615"/>
      <c r="Z13" s="575"/>
      <c r="AA13" s="616"/>
      <c r="AB13" s="575"/>
      <c r="AC13" s="613">
        <v>1</v>
      </c>
      <c r="AD13" s="613"/>
    </row>
    <row r="14" spans="1:1017" s="224" customFormat="1" ht="13.5" customHeight="1">
      <c r="A14" s="225">
        <v>6</v>
      </c>
      <c r="B14" s="239" t="s">
        <v>940</v>
      </c>
      <c r="C14" s="610"/>
      <c r="D14" s="241"/>
      <c r="E14" s="241"/>
      <c r="F14" s="241"/>
      <c r="G14" s="241"/>
      <c r="H14" s="575" t="s">
        <v>941</v>
      </c>
      <c r="I14" s="611"/>
      <c r="J14" s="575"/>
      <c r="K14" s="611" t="s">
        <v>942</v>
      </c>
      <c r="L14" s="575"/>
      <c r="M14" s="575"/>
      <c r="N14" s="575"/>
      <c r="O14" s="575"/>
      <c r="P14" s="612"/>
      <c r="Q14" s="575" t="s">
        <v>817</v>
      </c>
      <c r="R14" s="575"/>
      <c r="S14" s="575" t="s">
        <v>875</v>
      </c>
      <c r="T14" s="613"/>
      <c r="U14" s="575"/>
      <c r="V14" s="614" t="s">
        <v>864</v>
      </c>
      <c r="W14" s="614" t="s">
        <v>864</v>
      </c>
      <c r="X14" s="232"/>
      <c r="Y14" s="615"/>
      <c r="Z14" s="575"/>
      <c r="AA14" s="616"/>
      <c r="AB14" s="575"/>
      <c r="AC14" s="613">
        <v>1</v>
      </c>
      <c r="AD14" s="613"/>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39">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4">
        <f>SUBTOTAL(103,createCase3[Priorisation])</f>
        <v>0</v>
      </c>
      <c r="Q15" s="225"/>
      <c r="R15" s="225">
        <f>SUBTOTAL(103,createCase3[Objet])</f>
        <v>0</v>
      </c>
      <c r="S15" s="225">
        <f>SUBTOTAL(103,createCase3[Format (ou type)])</f>
        <v>6</v>
      </c>
      <c r="T15" s="274"/>
      <c r="U15" s="225"/>
      <c r="V15" s="225"/>
      <c r="W15" s="225"/>
      <c r="Y15" s="271">
        <f>SUBTOTAL(103,createCase3[Commentaire Hub Santé])</f>
        <v>0</v>
      </c>
      <c r="Z15" s="225">
        <f>SUBTOTAL(103,createCase3[Commentaire Philippe Dreyfus])</f>
        <v>1</v>
      </c>
      <c r="AA15" s="239"/>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78"/>
      <c r="U17" s="96"/>
      <c r="V17" s="96"/>
      <c r="W17" s="96"/>
      <c r="X17"/>
      <c r="Y17" s="179"/>
      <c r="Z17" s="96"/>
      <c r="AA17" s="159"/>
      <c r="AB17" s="96"/>
      <c r="AD17" s="96"/>
      <c r="AMA17"/>
      <c r="AMB17"/>
      <c r="AMC17"/>
    </row>
    <row r="18" spans="1:1017" s="128" customFormat="1" ht="12" customHeight="1">
      <c r="I18" s="224"/>
      <c r="P18" s="174"/>
      <c r="R18" s="96"/>
      <c r="S18" s="96"/>
      <c r="T18" s="278"/>
      <c r="U18" s="96"/>
      <c r="V18" s="96"/>
      <c r="W18" s="96"/>
      <c r="X18"/>
      <c r="Y18" s="179"/>
      <c r="Z18" s="96"/>
      <c r="AA18" s="159"/>
      <c r="AB18" s="96"/>
      <c r="AD18" s="96"/>
      <c r="AMA18"/>
      <c r="AMB18"/>
      <c r="AMC18"/>
    </row>
    <row r="19" spans="1:1017" s="128" customFormat="1" ht="12" customHeight="1">
      <c r="I19" s="224"/>
      <c r="P19" s="174"/>
      <c r="R19" s="96"/>
      <c r="S19" s="96"/>
      <c r="T19" s="278"/>
      <c r="U19" s="96"/>
      <c r="V19" s="96"/>
      <c r="W19" s="96"/>
      <c r="X19"/>
      <c r="Y19" s="179"/>
      <c r="Z19" s="96"/>
      <c r="AA19" s="159"/>
      <c r="AB19" s="96"/>
      <c r="AD19" s="96"/>
      <c r="AMA19"/>
      <c r="AMB19"/>
      <c r="AMC19"/>
    </row>
    <row r="20" spans="1:1017" s="128" customFormat="1" ht="12" customHeight="1">
      <c r="I20" s="224"/>
      <c r="P20" s="174"/>
      <c r="R20" s="96"/>
      <c r="S20" s="96"/>
      <c r="T20" s="278"/>
      <c r="U20" s="96"/>
      <c r="V20" s="96"/>
      <c r="W20" s="96"/>
      <c r="X20"/>
      <c r="Y20" s="179"/>
      <c r="Z20" s="96"/>
      <c r="AA20" s="159"/>
      <c r="AB20" s="96"/>
      <c r="AD20" s="96"/>
      <c r="AMA20"/>
      <c r="AMB20"/>
      <c r="AMC20"/>
    </row>
    <row r="21" spans="1:1017" s="128" customFormat="1" ht="12" customHeight="1">
      <c r="I21" s="224"/>
      <c r="P21" s="174"/>
      <c r="R21" s="96"/>
      <c r="S21" s="96"/>
      <c r="T21" s="278"/>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78"/>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78"/>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78"/>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78"/>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78"/>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78"/>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78"/>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78"/>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78"/>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78"/>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78"/>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78"/>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78"/>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78"/>
      <c r="U53" s="96"/>
      <c r="V53" s="96"/>
      <c r="W53" s="96"/>
      <c r="X53"/>
      <c r="Y53" s="179"/>
      <c r="Z53" s="96"/>
      <c r="AA53" s="161"/>
      <c r="AB53" s="96"/>
      <c r="AD53" s="96"/>
      <c r="AMB53"/>
    </row>
    <row r="54" spans="1:1018" s="117" customFormat="1" ht="12" customHeight="1">
      <c r="A54" s="123"/>
      <c r="B54" s="123"/>
      <c r="C54" s="123"/>
      <c r="D54" s="123"/>
      <c r="E54" s="123"/>
      <c r="F54" s="123"/>
      <c r="G54" s="112"/>
      <c r="H54" s="112"/>
      <c r="I54" s="277"/>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77"/>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77"/>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77"/>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77"/>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77"/>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77"/>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78"/>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78"/>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1186" priority="78">
      <formula>OR($AD16="X",$AB16="X")</formula>
    </cfRule>
    <cfRule type="expression" dxfId="1185" priority="79">
      <formula>AND($AD16=1,$AB16=1)</formula>
    </cfRule>
    <cfRule type="expression" dxfId="1184" priority="80">
      <formula>$AD16=1</formula>
    </cfRule>
    <cfRule type="expression" dxfId="1183" priority="81">
      <formula>$AB16=1</formula>
    </cfRule>
  </conditionalFormatting>
  <conditionalFormatting sqref="A9:G14">
    <cfRule type="expression" dxfId="1182" priority="23">
      <formula>OR($AD9="X",$AC9="X")</formula>
    </cfRule>
    <cfRule type="expression" dxfId="1181" priority="25">
      <formula>AND($AD9=1,$AC9=1)</formula>
    </cfRule>
    <cfRule type="expression" dxfId="1180" priority="26">
      <formula>$AD9=1</formula>
    </cfRule>
    <cfRule type="expression" dxfId="1179" priority="27">
      <formula>$AC9=1</formula>
    </cfRule>
    <cfRule type="expression" dxfId="1178" priority="28">
      <formula>AND(NOT(ISBLANK($W9)),ISBLANK($AC9),ISBLANK($AD9))</formula>
    </cfRule>
  </conditionalFormatting>
  <conditionalFormatting sqref="C9:C14">
    <cfRule type="expression" dxfId="1177" priority="22">
      <formula>AND($R9="X",$B9&lt;&gt;"")</formula>
    </cfRule>
  </conditionalFormatting>
  <conditionalFormatting sqref="D9:D14">
    <cfRule type="expression" dxfId="1176" priority="24">
      <formula>AND($R9="X",OR($B9&lt;&gt;"",$C9&lt;&gt;""))</formula>
    </cfRule>
  </conditionalFormatting>
  <conditionalFormatting sqref="E9:E14">
    <cfRule type="expression" dxfId="1175"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1174" priority="20">
      <formula>AND($R9="X",OR($B9&lt;&gt;"",$C9&lt;&gt;"",$D9&lt;&gt;"",$E9&lt;&gt;""))</formula>
    </cfRule>
  </conditionalFormatting>
  <conditionalFormatting sqref="G9:G14">
    <cfRule type="expression" dxfId="1173" priority="21">
      <formula>AND($R9="X",OR($B9&lt;&gt;"",$C9&lt;&gt;"",$D9&lt;&gt;"",$E9&lt;&gt;"",$F9&lt;&gt;""))</formula>
    </cfRule>
  </conditionalFormatting>
  <conditionalFormatting sqref="H16:H17 H37:H877">
    <cfRule type="expression" dxfId="1172" priority="77">
      <formula>$Q16="X"</formula>
    </cfRule>
  </conditionalFormatting>
  <conditionalFormatting sqref="I9:I14">
    <cfRule type="expression" dxfId="1171" priority="18">
      <formula>$R9="X"</formula>
    </cfRule>
  </conditionalFormatting>
  <conditionalFormatting sqref="Q9:Q14">
    <cfRule type="cellIs" dxfId="1170" priority="2" operator="equal">
      <formula>"1..1"</formula>
    </cfRule>
    <cfRule type="cellIs" dxfId="1169" priority="3" operator="equal">
      <formula>"0..n"</formula>
    </cfRule>
    <cfRule type="cellIs" dxfId="1168"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D7F51-1C3E-2B4B-8929-12620D80DFFB}">
  <dimension ref="A1:AMD238"/>
  <sheetViews>
    <sheetView zoomScaleNormal="100" workbookViewId="0">
      <pane xSplit="7" ySplit="8" topLeftCell="H9" activePane="bottomRight" state="frozen"/>
      <selection pane="bottomRight" activeCell="D14" sqref="D14"/>
      <selection pane="bottomLeft" activeCell="A9" sqref="A9"/>
      <selection pane="topRight" activeCell="H1" sqref="H1"/>
    </sheetView>
  </sheetViews>
  <sheetFormatPr defaultColWidth="9.5" defaultRowHeight="12" customHeight="1"/>
  <cols>
    <col min="1" max="1" width="4.625" style="128" customWidth="1"/>
    <col min="2" max="2" width="27.125" style="128" customWidth="1"/>
    <col min="3" max="3" width="29.375" style="128" customWidth="1"/>
    <col min="4" max="4" width="27.625" style="128" customWidth="1"/>
    <col min="5" max="5" width="20" style="128" customWidth="1"/>
    <col min="6" max="6" width="8.625" style="128" customWidth="1"/>
    <col min="7" max="7" width="14.625" style="96" customWidth="1"/>
    <col min="8" max="8" width="53.125" style="96" customWidth="1"/>
    <col min="9" max="9" width="33.5" style="225" customWidth="1"/>
    <col min="10" max="10" width="12" style="96" customWidth="1"/>
    <col min="11" max="11" width="17.875" style="159" customWidth="1"/>
    <col min="12" max="13" width="4.875" style="96" hidden="1" customWidth="1"/>
    <col min="14" max="15" width="6.125" style="96" hidden="1" customWidth="1"/>
    <col min="16" max="16" width="6.625" style="173" hidden="1" customWidth="1"/>
    <col min="17" max="17" width="10.5" style="96" customWidth="1"/>
    <col min="18" max="18" width="6" style="96" customWidth="1"/>
    <col min="19" max="19" width="18.5" style="96" customWidth="1"/>
    <col min="20" max="20" width="12.625" style="278" hidden="1" customWidth="1"/>
    <col min="21" max="21" width="28.125" style="96" customWidth="1"/>
    <col min="22" max="22" width="8.875" style="96" customWidth="1"/>
    <col min="23" max="23" width="8.125" style="96" customWidth="1"/>
    <col min="24" max="24" width="2.375" customWidth="1"/>
    <col min="25" max="25" width="22.625" style="179" customWidth="1"/>
    <col min="26" max="26" width="24.37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4" ht="13.5" customHeight="1">
      <c r="A1" s="228" t="s">
        <v>773</v>
      </c>
      <c r="C1" s="129" t="s">
        <v>813</v>
      </c>
      <c r="E1" s="150" t="s">
        <v>814</v>
      </c>
      <c r="F1" s="157">
        <f>createCase14[[#Totals],[Métier]] / createCase14[[#Totals],[ID]]</f>
        <v>0.95977011494252873</v>
      </c>
      <c r="G1" s="128"/>
      <c r="H1" s="589" t="s">
        <v>911</v>
      </c>
      <c r="I1" s="589"/>
      <c r="J1" s="589"/>
      <c r="O1" s="590" t="s">
        <v>816</v>
      </c>
      <c r="P1" s="590"/>
      <c r="AC1" s="96"/>
      <c r="AE1"/>
      <c r="AF1" s="128"/>
      <c r="ALZ1"/>
    </row>
    <row r="2" spans="1:1014" ht="13.5" customHeight="1">
      <c r="C2" s="141" t="s">
        <v>818</v>
      </c>
      <c r="D2" s="285"/>
      <c r="E2" s="152" t="s">
        <v>819</v>
      </c>
      <c r="F2" s="157">
        <f>createCase14[[#Totals],[NexSIS]] / createCase14[[#Totals],[ID]]</f>
        <v>0.47701149425287354</v>
      </c>
      <c r="G2" s="128"/>
      <c r="H2" s="589"/>
      <c r="I2" s="589"/>
      <c r="J2" s="589"/>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943</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78"/>
      <c r="E7" s="138"/>
      <c r="F7" s="138"/>
      <c r="L7" s="591" t="s">
        <v>828</v>
      </c>
      <c r="M7" s="591"/>
      <c r="N7" s="591"/>
      <c r="O7" s="591"/>
      <c r="V7" s="592" t="s">
        <v>829</v>
      </c>
      <c r="W7" s="592"/>
      <c r="AC7" s="591" t="s">
        <v>830</v>
      </c>
      <c r="AD7" s="591"/>
      <c r="AE7"/>
      <c r="AF7" s="128"/>
      <c r="ALZ7"/>
    </row>
    <row r="8" spans="1:1014"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944</v>
      </c>
      <c r="W8" s="229" t="s">
        <v>851</v>
      </c>
      <c r="X8" s="230" t="s">
        <v>852</v>
      </c>
      <c r="Y8" s="235" t="s">
        <v>853</v>
      </c>
      <c r="Z8" s="235" t="s">
        <v>854</v>
      </c>
      <c r="AA8" s="236" t="s">
        <v>855</v>
      </c>
      <c r="AB8" s="235" t="s">
        <v>856</v>
      </c>
      <c r="AC8" s="235" t="s">
        <v>857</v>
      </c>
      <c r="AD8" s="237" t="s">
        <v>915</v>
      </c>
    </row>
    <row r="9" spans="1:1014" s="224" customFormat="1" ht="13.5" customHeight="1">
      <c r="A9" s="225">
        <v>2</v>
      </c>
      <c r="B9" s="253" t="s">
        <v>945</v>
      </c>
      <c r="C9" s="221"/>
      <c r="D9" s="221"/>
      <c r="E9" s="221"/>
      <c r="F9" s="221"/>
      <c r="G9" s="221"/>
      <c r="H9" s="575" t="s">
        <v>946</v>
      </c>
      <c r="I9" s="131" t="s">
        <v>947</v>
      </c>
      <c r="J9" s="575"/>
      <c r="K9" s="611" t="s">
        <v>925</v>
      </c>
      <c r="L9" s="575" t="s">
        <v>926</v>
      </c>
      <c r="M9" s="575" t="s">
        <v>927</v>
      </c>
      <c r="N9" s="575"/>
      <c r="O9" s="575"/>
      <c r="P9" s="612"/>
      <c r="Q9" s="575" t="s">
        <v>817</v>
      </c>
      <c r="R9" s="575"/>
      <c r="S9" s="575" t="s">
        <v>863</v>
      </c>
      <c r="T9" s="613"/>
      <c r="U9" s="575"/>
      <c r="V9" s="614" t="s">
        <v>864</v>
      </c>
      <c r="W9" s="614" t="s">
        <v>864</v>
      </c>
      <c r="X9" s="232"/>
      <c r="Y9" s="615"/>
      <c r="Z9" s="575"/>
      <c r="AA9" s="616"/>
      <c r="AB9" s="575"/>
      <c r="AC9" s="613">
        <v>1</v>
      </c>
      <c r="AD9" s="613">
        <v>1</v>
      </c>
    </row>
    <row r="10" spans="1:1014" s="224" customFormat="1" ht="13.5" customHeight="1">
      <c r="A10" s="225">
        <v>3</v>
      </c>
      <c r="B10" s="217" t="s">
        <v>948</v>
      </c>
      <c r="C10" s="240"/>
      <c r="D10" s="241"/>
      <c r="E10" s="241"/>
      <c r="F10" s="241"/>
      <c r="G10" s="241"/>
      <c r="H10" s="575" t="s">
        <v>949</v>
      </c>
      <c r="I10" s="611" t="s">
        <v>930</v>
      </c>
      <c r="J10" s="575" t="s">
        <v>950</v>
      </c>
      <c r="K10" s="611" t="s">
        <v>931</v>
      </c>
      <c r="L10" s="575"/>
      <c r="M10" s="575"/>
      <c r="N10" s="575"/>
      <c r="O10" s="575"/>
      <c r="P10" s="612">
        <v>1</v>
      </c>
      <c r="Q10" s="575" t="s">
        <v>817</v>
      </c>
      <c r="R10" s="575"/>
      <c r="S10" s="575" t="s">
        <v>879</v>
      </c>
      <c r="T10" s="613"/>
      <c r="U10" s="575"/>
      <c r="V10" s="614" t="s">
        <v>864</v>
      </c>
      <c r="W10" s="614" t="s">
        <v>864</v>
      </c>
      <c r="X10" s="232"/>
      <c r="Y10" s="615"/>
      <c r="Z10" s="575"/>
      <c r="AA10" s="616"/>
      <c r="AB10" s="575"/>
      <c r="AC10" s="613">
        <v>1</v>
      </c>
      <c r="AD10" s="613">
        <v>1</v>
      </c>
    </row>
    <row r="11" spans="1:1014" s="224" customFormat="1" ht="13.5" customHeight="1">
      <c r="A11" s="225">
        <v>4</v>
      </c>
      <c r="B11" s="217" t="s">
        <v>951</v>
      </c>
      <c r="C11" s="240"/>
      <c r="D11" s="241"/>
      <c r="E11" s="241"/>
      <c r="F11" s="241"/>
      <c r="G11" s="241"/>
      <c r="H11" s="575"/>
      <c r="I11" s="611" t="s">
        <v>952</v>
      </c>
      <c r="J11" s="575" t="s">
        <v>953</v>
      </c>
      <c r="K11" s="611" t="s">
        <v>954</v>
      </c>
      <c r="L11" s="575"/>
      <c r="M11" s="575"/>
      <c r="N11" s="575"/>
      <c r="O11" s="575"/>
      <c r="P11" s="612"/>
      <c r="Q11" s="575" t="s">
        <v>817</v>
      </c>
      <c r="R11" s="575"/>
      <c r="S11" s="575" t="s">
        <v>863</v>
      </c>
      <c r="T11" s="613"/>
      <c r="U11" s="575" t="s">
        <v>955</v>
      </c>
      <c r="V11" s="614" t="s">
        <v>864</v>
      </c>
      <c r="W11" s="614" t="s">
        <v>864</v>
      </c>
      <c r="X11" s="232"/>
      <c r="Y11" s="615"/>
      <c r="Z11" s="575"/>
      <c r="AA11" s="616"/>
      <c r="AB11" s="575"/>
      <c r="AC11" s="613">
        <v>1</v>
      </c>
      <c r="AD11" s="613">
        <v>1</v>
      </c>
    </row>
    <row r="12" spans="1:1014" s="224" customFormat="1" ht="13.5" customHeight="1">
      <c r="A12" s="225"/>
      <c r="B12" s="217" t="s">
        <v>956</v>
      </c>
      <c r="C12" s="240"/>
      <c r="D12" s="241"/>
      <c r="E12" s="241"/>
      <c r="F12" s="241"/>
      <c r="G12" s="241"/>
      <c r="H12" s="575"/>
      <c r="I12" s="611" t="s">
        <v>957</v>
      </c>
      <c r="J12" s="575"/>
      <c r="K12" s="611" t="s">
        <v>958</v>
      </c>
      <c r="L12" s="575"/>
      <c r="M12" s="575"/>
      <c r="N12" s="575"/>
      <c r="O12" s="575"/>
      <c r="P12" s="612"/>
      <c r="Q12" s="575" t="s">
        <v>817</v>
      </c>
      <c r="R12" s="575"/>
      <c r="S12" s="575" t="s">
        <v>863</v>
      </c>
      <c r="T12" s="613"/>
      <c r="U12" s="575" t="s">
        <v>959</v>
      </c>
      <c r="V12" s="614" t="s">
        <v>864</v>
      </c>
      <c r="W12" s="614"/>
      <c r="X12" s="232"/>
      <c r="Y12" s="615"/>
      <c r="Z12" s="575"/>
      <c r="AA12" s="616"/>
      <c r="AB12" s="575"/>
      <c r="AC12" s="613"/>
      <c r="AD12" s="613"/>
    </row>
    <row r="13" spans="1:1014" s="224" customFormat="1" ht="13.5" customHeight="1">
      <c r="A13" s="225">
        <v>5</v>
      </c>
      <c r="B13" s="217" t="s">
        <v>960</v>
      </c>
      <c r="C13" s="610"/>
      <c r="D13" s="241"/>
      <c r="E13" s="241"/>
      <c r="F13" s="241"/>
      <c r="G13" s="241"/>
      <c r="H13" s="575" t="s">
        <v>961</v>
      </c>
      <c r="I13" s="611"/>
      <c r="J13" s="575" t="s">
        <v>962</v>
      </c>
      <c r="K13" s="611" t="s">
        <v>963</v>
      </c>
      <c r="L13" s="575"/>
      <c r="M13" s="575"/>
      <c r="N13" s="575"/>
      <c r="O13" s="575"/>
      <c r="P13" s="612"/>
      <c r="Q13" s="575" t="s">
        <v>820</v>
      </c>
      <c r="R13" s="575"/>
      <c r="S13" s="243" t="s">
        <v>963</v>
      </c>
      <c r="T13" s="613"/>
      <c r="U13" s="575"/>
      <c r="V13" s="614" t="s">
        <v>864</v>
      </c>
      <c r="W13" s="614" t="s">
        <v>864</v>
      </c>
      <c r="X13" s="232"/>
      <c r="Y13" s="615"/>
      <c r="Z13" s="575"/>
      <c r="AA13" s="616"/>
      <c r="AB13" s="575"/>
      <c r="AC13" s="613">
        <v>1</v>
      </c>
      <c r="AD13" s="613">
        <v>1</v>
      </c>
    </row>
    <row r="14" spans="1:1014" s="224" customFormat="1" ht="13.5" customHeight="1">
      <c r="A14" s="225"/>
      <c r="B14" s="217"/>
      <c r="C14" s="610" t="s">
        <v>964</v>
      </c>
      <c r="D14" s="241"/>
      <c r="E14" s="241"/>
      <c r="F14" s="241"/>
      <c r="G14" s="241"/>
      <c r="H14" s="575"/>
      <c r="I14" s="611"/>
      <c r="J14" s="575"/>
      <c r="K14" s="611" t="s">
        <v>939</v>
      </c>
      <c r="L14" s="575"/>
      <c r="M14" s="575"/>
      <c r="N14" s="575"/>
      <c r="O14" s="575"/>
      <c r="P14" s="612"/>
      <c r="Q14" s="575" t="s">
        <v>823</v>
      </c>
      <c r="R14" s="575"/>
      <c r="S14" s="575" t="s">
        <v>863</v>
      </c>
      <c r="T14" s="613"/>
      <c r="U14" s="575" t="s">
        <v>965</v>
      </c>
      <c r="V14" s="614" t="s">
        <v>864</v>
      </c>
      <c r="W14" s="614"/>
      <c r="X14" s="232"/>
      <c r="Y14" s="615"/>
      <c r="Z14" s="575"/>
      <c r="AA14" s="616"/>
      <c r="AB14" s="575"/>
      <c r="AC14" s="613"/>
      <c r="AD14" s="613"/>
    </row>
    <row r="15" spans="1:1014" s="224" customFormat="1" ht="13.5" customHeight="1">
      <c r="A15" s="225"/>
      <c r="B15" s="217"/>
      <c r="C15" s="610" t="s">
        <v>966</v>
      </c>
      <c r="D15" s="241"/>
      <c r="E15" s="241"/>
      <c r="F15" s="241"/>
      <c r="G15" s="241"/>
      <c r="H15" s="575"/>
      <c r="I15" s="611"/>
      <c r="J15" s="575"/>
      <c r="K15" s="611" t="s">
        <v>967</v>
      </c>
      <c r="L15" s="575"/>
      <c r="M15" s="575"/>
      <c r="N15" s="575"/>
      <c r="O15" s="575"/>
      <c r="P15" s="612"/>
      <c r="Q15" s="575" t="s">
        <v>817</v>
      </c>
      <c r="R15" s="575"/>
      <c r="S15" s="575" t="s">
        <v>863</v>
      </c>
      <c r="T15" s="613"/>
      <c r="U15" s="575" t="s">
        <v>968</v>
      </c>
      <c r="V15" s="614" t="s">
        <v>864</v>
      </c>
      <c r="W15" s="614"/>
      <c r="X15" s="232"/>
      <c r="Y15" s="615"/>
      <c r="Z15" s="575"/>
      <c r="AA15" s="616"/>
      <c r="AB15" s="575"/>
      <c r="AC15" s="613"/>
      <c r="AD15" s="613"/>
    </row>
    <row r="16" spans="1:1014" s="224" customFormat="1" ht="13.5" customHeight="1">
      <c r="A16" s="225">
        <v>6</v>
      </c>
      <c r="B16" s="217"/>
      <c r="C16" s="610" t="s">
        <v>969</v>
      </c>
      <c r="D16" s="241"/>
      <c r="E16" s="241"/>
      <c r="F16" s="241"/>
      <c r="G16" s="241"/>
      <c r="H16" s="575" t="s">
        <v>970</v>
      </c>
      <c r="I16" s="611"/>
      <c r="J16" s="575" t="s">
        <v>971</v>
      </c>
      <c r="K16" s="611"/>
      <c r="L16" s="575" t="s">
        <v>972</v>
      </c>
      <c r="M16" s="575" t="s">
        <v>973</v>
      </c>
      <c r="N16" s="575"/>
      <c r="O16" s="575"/>
      <c r="P16" s="612">
        <v>1</v>
      </c>
      <c r="Q16" s="575" t="s">
        <v>820</v>
      </c>
      <c r="R16" s="575" t="s">
        <v>864</v>
      </c>
      <c r="S16" s="575" t="s">
        <v>974</v>
      </c>
      <c r="T16" s="613"/>
      <c r="U16" s="575"/>
      <c r="V16" s="614" t="s">
        <v>864</v>
      </c>
      <c r="W16" s="614" t="s">
        <v>864</v>
      </c>
      <c r="X16" s="232"/>
      <c r="Y16" s="615"/>
      <c r="Z16" s="575" t="s">
        <v>975</v>
      </c>
      <c r="AA16" s="616"/>
      <c r="AB16" s="575"/>
      <c r="AC16" s="613">
        <v>1</v>
      </c>
      <c r="AD16" s="613">
        <v>1</v>
      </c>
    </row>
    <row r="17" spans="1:30" s="224" customFormat="1" ht="13.5" customHeight="1">
      <c r="A17" s="225">
        <v>7</v>
      </c>
      <c r="B17" s="217"/>
      <c r="C17" s="610"/>
      <c r="D17" s="241" t="s">
        <v>667</v>
      </c>
      <c r="E17" s="241"/>
      <c r="F17" s="241"/>
      <c r="G17" s="241"/>
      <c r="H17" s="575" t="s">
        <v>976</v>
      </c>
      <c r="I17" s="611" t="s">
        <v>977</v>
      </c>
      <c r="J17" s="575" t="s">
        <v>978</v>
      </c>
      <c r="K17" s="611"/>
      <c r="L17" s="575"/>
      <c r="M17" s="575"/>
      <c r="N17" s="575"/>
      <c r="O17" s="575"/>
      <c r="P17" s="612">
        <v>1</v>
      </c>
      <c r="Q17" s="575" t="s">
        <v>820</v>
      </c>
      <c r="R17" s="575"/>
      <c r="S17" s="575" t="s">
        <v>863</v>
      </c>
      <c r="T17" s="613"/>
      <c r="U17" s="575"/>
      <c r="V17" s="614" t="s">
        <v>864</v>
      </c>
      <c r="W17" s="614" t="s">
        <v>864</v>
      </c>
      <c r="X17" s="232"/>
      <c r="Y17" s="615"/>
      <c r="Z17" s="575" t="s">
        <v>975</v>
      </c>
      <c r="AA17" s="616"/>
      <c r="AB17" s="575"/>
      <c r="AC17" s="613">
        <v>1</v>
      </c>
      <c r="AD17" s="613">
        <v>1</v>
      </c>
    </row>
    <row r="18" spans="1:30" s="224" customFormat="1" ht="13.5" customHeight="1">
      <c r="A18" s="225">
        <v>8</v>
      </c>
      <c r="B18" s="217"/>
      <c r="C18" s="610"/>
      <c r="D18" s="241" t="s">
        <v>979</v>
      </c>
      <c r="E18" s="241"/>
      <c r="F18" s="241"/>
      <c r="G18" s="241"/>
      <c r="H18" s="575" t="s">
        <v>980</v>
      </c>
      <c r="I18" s="611" t="s">
        <v>981</v>
      </c>
      <c r="J18" s="575" t="s">
        <v>982</v>
      </c>
      <c r="K18" s="611"/>
      <c r="L18" s="575"/>
      <c r="M18" s="575"/>
      <c r="N18" s="575"/>
      <c r="O18" s="575"/>
      <c r="P18" s="612">
        <v>1</v>
      </c>
      <c r="Q18" s="575" t="s">
        <v>820</v>
      </c>
      <c r="R18" s="575"/>
      <c r="S18" s="575" t="s">
        <v>863</v>
      </c>
      <c r="T18" s="613"/>
      <c r="U18" s="575"/>
      <c r="V18" s="614" t="s">
        <v>864</v>
      </c>
      <c r="W18" s="614" t="s">
        <v>864</v>
      </c>
      <c r="X18" s="232"/>
      <c r="Y18" s="615"/>
      <c r="Z18" s="575" t="s">
        <v>975</v>
      </c>
      <c r="AA18" s="616"/>
      <c r="AB18" s="575"/>
      <c r="AC18" s="613">
        <v>1</v>
      </c>
      <c r="AD18" s="613">
        <v>1</v>
      </c>
    </row>
    <row r="19" spans="1:30" s="224" customFormat="1" ht="13.5" customHeight="1">
      <c r="A19" s="225">
        <v>9</v>
      </c>
      <c r="B19" s="217"/>
      <c r="C19" s="610"/>
      <c r="D19" s="241" t="s">
        <v>767</v>
      </c>
      <c r="E19" s="241"/>
      <c r="F19" s="241"/>
      <c r="G19" s="241"/>
      <c r="H19" s="575" t="s">
        <v>983</v>
      </c>
      <c r="I19" s="611"/>
      <c r="J19" s="575" t="s">
        <v>939</v>
      </c>
      <c r="K19" s="611"/>
      <c r="L19" s="575"/>
      <c r="M19" s="575"/>
      <c r="N19" s="575"/>
      <c r="O19" s="575"/>
      <c r="P19" s="612"/>
      <c r="Q19" s="575" t="s">
        <v>817</v>
      </c>
      <c r="R19" s="575"/>
      <c r="S19" s="575" t="s">
        <v>863</v>
      </c>
      <c r="T19" s="613"/>
      <c r="U19" s="575"/>
      <c r="V19" s="614" t="s">
        <v>864</v>
      </c>
      <c r="W19" s="614" t="s">
        <v>864</v>
      </c>
      <c r="X19" s="232"/>
      <c r="Y19" s="615"/>
      <c r="Z19" s="575" t="s">
        <v>975</v>
      </c>
      <c r="AA19" s="616"/>
      <c r="AB19" s="575"/>
      <c r="AC19" s="613">
        <v>1</v>
      </c>
      <c r="AD19" s="613">
        <v>1</v>
      </c>
    </row>
    <row r="20" spans="1:30" s="224" customFormat="1" ht="13.5" customHeight="1">
      <c r="A20" s="225">
        <v>10</v>
      </c>
      <c r="B20" s="217"/>
      <c r="C20" s="610" t="s">
        <v>984</v>
      </c>
      <c r="D20" s="241" t="s">
        <v>985</v>
      </c>
      <c r="E20" s="241"/>
      <c r="F20" s="241"/>
      <c r="G20" s="241"/>
      <c r="H20" s="575" t="s">
        <v>986</v>
      </c>
      <c r="I20" s="611"/>
      <c r="J20" s="575" t="s">
        <v>987</v>
      </c>
      <c r="K20" s="611"/>
      <c r="L20" s="575" t="s">
        <v>988</v>
      </c>
      <c r="M20" s="575" t="s">
        <v>989</v>
      </c>
      <c r="N20" s="575"/>
      <c r="O20" s="575"/>
      <c r="P20" s="612">
        <v>1</v>
      </c>
      <c r="Q20" s="575" t="s">
        <v>817</v>
      </c>
      <c r="R20" s="575" t="s">
        <v>864</v>
      </c>
      <c r="S20" s="575" t="s">
        <v>974</v>
      </c>
      <c r="T20" s="613"/>
      <c r="U20" s="575"/>
      <c r="V20" s="614"/>
      <c r="W20" s="614" t="s">
        <v>864</v>
      </c>
      <c r="X20" s="232"/>
      <c r="Y20" s="615"/>
      <c r="Z20" s="575" t="s">
        <v>975</v>
      </c>
      <c r="AA20" s="616"/>
      <c r="AB20" s="575"/>
      <c r="AC20" s="613">
        <v>1</v>
      </c>
      <c r="AD20" s="613">
        <v>1</v>
      </c>
    </row>
    <row r="21" spans="1:30" s="550" customFormat="1" ht="13.5" customHeight="1">
      <c r="A21" s="575">
        <v>11</v>
      </c>
      <c r="B21" s="610"/>
      <c r="C21" s="610" t="s">
        <v>990</v>
      </c>
      <c r="D21" s="610" t="s">
        <v>985</v>
      </c>
      <c r="E21" s="610"/>
      <c r="F21" s="610"/>
      <c r="G21" s="610"/>
      <c r="H21" s="575" t="s">
        <v>991</v>
      </c>
      <c r="I21" s="611"/>
      <c r="J21" s="575" t="s">
        <v>992</v>
      </c>
      <c r="K21" s="611"/>
      <c r="L21" s="575"/>
      <c r="M21" s="575"/>
      <c r="N21" s="575"/>
      <c r="O21" s="575"/>
      <c r="P21" s="612">
        <v>1</v>
      </c>
      <c r="Q21" s="575" t="s">
        <v>823</v>
      </c>
      <c r="R21" s="575" t="s">
        <v>864</v>
      </c>
      <c r="S21" s="575" t="s">
        <v>974</v>
      </c>
      <c r="T21" s="613"/>
      <c r="U21" s="575"/>
      <c r="V21" s="614"/>
      <c r="W21" s="614" t="s">
        <v>864</v>
      </c>
      <c r="X21" s="617"/>
      <c r="Y21" s="615"/>
      <c r="Z21" s="575" t="s">
        <v>975</v>
      </c>
      <c r="AA21" s="616"/>
      <c r="AB21" s="575"/>
      <c r="AC21" s="613">
        <v>1</v>
      </c>
      <c r="AD21" s="613">
        <v>1</v>
      </c>
    </row>
    <row r="22" spans="1:30" s="224" customFormat="1" ht="13.5" customHeight="1">
      <c r="A22" s="225">
        <v>12</v>
      </c>
      <c r="B22" s="217"/>
      <c r="C22" s="610" t="s">
        <v>993</v>
      </c>
      <c r="D22" s="241" t="s">
        <v>985</v>
      </c>
      <c r="E22" s="241"/>
      <c r="F22" s="241"/>
      <c r="G22" s="241"/>
      <c r="H22" s="575" t="s">
        <v>994</v>
      </c>
      <c r="I22" s="611"/>
      <c r="J22" s="575" t="s">
        <v>995</v>
      </c>
      <c r="K22" s="611"/>
      <c r="L22" s="575"/>
      <c r="M22" s="575"/>
      <c r="N22" s="575"/>
      <c r="O22" s="575"/>
      <c r="P22" s="612">
        <v>1</v>
      </c>
      <c r="Q22" s="575" t="s">
        <v>817</v>
      </c>
      <c r="R22" s="575" t="s">
        <v>864</v>
      </c>
      <c r="S22" s="575" t="s">
        <v>974</v>
      </c>
      <c r="T22" s="613"/>
      <c r="U22" s="263"/>
      <c r="V22" s="614"/>
      <c r="W22" s="614" t="s">
        <v>864</v>
      </c>
      <c r="X22" s="232"/>
      <c r="Y22" s="615"/>
      <c r="Z22" s="575" t="s">
        <v>975</v>
      </c>
      <c r="AA22" s="616"/>
      <c r="AB22" s="575"/>
      <c r="AC22" s="613">
        <v>1</v>
      </c>
      <c r="AD22" s="613"/>
    </row>
    <row r="23" spans="1:30" s="249" customFormat="1" ht="13.5" customHeight="1">
      <c r="A23" s="255">
        <v>13</v>
      </c>
      <c r="B23" s="218"/>
      <c r="C23" s="218" t="s">
        <v>996</v>
      </c>
      <c r="D23" s="218"/>
      <c r="E23" s="218"/>
      <c r="F23" s="218"/>
      <c r="G23" s="218"/>
      <c r="H23" s="255"/>
      <c r="I23" s="501"/>
      <c r="J23" s="255"/>
      <c r="K23" s="255" t="s">
        <v>997</v>
      </c>
      <c r="L23" s="255"/>
      <c r="M23" s="255"/>
      <c r="N23" s="255"/>
      <c r="O23" s="255"/>
      <c r="P23" s="377"/>
      <c r="Q23" s="255" t="s">
        <v>817</v>
      </c>
      <c r="R23" s="255" t="s">
        <v>864</v>
      </c>
      <c r="S23" s="549" t="s">
        <v>998</v>
      </c>
      <c r="T23" s="374"/>
      <c r="U23" s="255"/>
      <c r="V23" s="375"/>
      <c r="W23" s="375" t="s">
        <v>864</v>
      </c>
      <c r="X23" s="504"/>
      <c r="Y23" s="380"/>
      <c r="Z23" s="255" t="s">
        <v>999</v>
      </c>
      <c r="AA23" s="245"/>
      <c r="AB23" s="255"/>
      <c r="AC23" s="374"/>
      <c r="AD23" s="374">
        <v>1</v>
      </c>
    </row>
    <row r="24" spans="1:30" s="249" customFormat="1" ht="13.5" customHeight="1">
      <c r="A24" s="255">
        <v>14</v>
      </c>
      <c r="B24" s="218"/>
      <c r="C24" s="218"/>
      <c r="D24" s="218" t="s">
        <v>495</v>
      </c>
      <c r="E24" s="218"/>
      <c r="F24" s="218"/>
      <c r="G24" s="218"/>
      <c r="H24" s="255" t="s">
        <v>1000</v>
      </c>
      <c r="I24" s="501"/>
      <c r="J24" s="255"/>
      <c r="K24" s="255" t="s">
        <v>888</v>
      </c>
      <c r="L24" s="255"/>
      <c r="M24" s="255"/>
      <c r="N24" s="255"/>
      <c r="O24" s="255"/>
      <c r="P24" s="377"/>
      <c r="Q24" s="255" t="s">
        <v>817</v>
      </c>
      <c r="R24" s="255"/>
      <c r="S24" s="255" t="s">
        <v>863</v>
      </c>
      <c r="T24" s="374"/>
      <c r="U24" s="255" t="s">
        <v>1001</v>
      </c>
      <c r="V24" s="375"/>
      <c r="W24" s="375" t="s">
        <v>864</v>
      </c>
      <c r="X24" s="504"/>
      <c r="Y24" s="380"/>
      <c r="Z24" s="380" t="s">
        <v>1002</v>
      </c>
      <c r="AA24" s="245"/>
      <c r="AB24" s="255"/>
      <c r="AC24" s="374"/>
      <c r="AD24" s="374">
        <v>1</v>
      </c>
    </row>
    <row r="25" spans="1:30" s="249" customFormat="1" ht="13.5" customHeight="1">
      <c r="A25" s="255">
        <v>15</v>
      </c>
      <c r="B25" s="218"/>
      <c r="C25" s="218"/>
      <c r="D25" s="218" t="s">
        <v>956</v>
      </c>
      <c r="E25" s="218"/>
      <c r="F25" s="218"/>
      <c r="G25" s="218"/>
      <c r="H25" s="255" t="s">
        <v>1003</v>
      </c>
      <c r="I25" s="501" t="s">
        <v>1004</v>
      </c>
      <c r="J25" s="255"/>
      <c r="K25" s="255" t="s">
        <v>958</v>
      </c>
      <c r="L25" s="255"/>
      <c r="M25" s="255"/>
      <c r="N25" s="255"/>
      <c r="O25" s="255"/>
      <c r="P25" s="377"/>
      <c r="Q25" s="255" t="s">
        <v>817</v>
      </c>
      <c r="R25" s="255"/>
      <c r="S25" s="255" t="s">
        <v>863</v>
      </c>
      <c r="T25" s="374"/>
      <c r="U25" s="255" t="s">
        <v>1005</v>
      </c>
      <c r="V25" s="375"/>
      <c r="W25" s="375" t="s">
        <v>864</v>
      </c>
      <c r="X25" s="504"/>
      <c r="Y25" s="380"/>
      <c r="Z25" s="380" t="s">
        <v>1006</v>
      </c>
      <c r="AA25" s="245"/>
      <c r="AB25" s="255"/>
      <c r="AC25" s="374"/>
      <c r="AD25" s="374">
        <v>1</v>
      </c>
    </row>
    <row r="26" spans="1:30" s="540" customFormat="1" ht="13.5" customHeight="1">
      <c r="A26" s="538">
        <v>16</v>
      </c>
      <c r="B26" s="539"/>
      <c r="C26" s="539"/>
      <c r="D26" s="539" t="s">
        <v>1007</v>
      </c>
      <c r="E26" s="539"/>
      <c r="F26" s="539"/>
      <c r="G26" s="539"/>
      <c r="H26" s="538" t="s">
        <v>1008</v>
      </c>
      <c r="I26" s="540" t="s">
        <v>1009</v>
      </c>
      <c r="J26" s="538"/>
      <c r="K26" s="541" t="s">
        <v>1010</v>
      </c>
      <c r="L26" s="538"/>
      <c r="M26" s="538"/>
      <c r="N26" s="538"/>
      <c r="O26" s="538"/>
      <c r="P26" s="542"/>
      <c r="Q26" s="538" t="s">
        <v>817</v>
      </c>
      <c r="R26" s="538"/>
      <c r="S26" s="538" t="s">
        <v>863</v>
      </c>
      <c r="T26" s="543"/>
      <c r="U26" s="543"/>
      <c r="V26" s="544"/>
      <c r="W26" s="544" t="s">
        <v>864</v>
      </c>
      <c r="X26" s="545"/>
      <c r="Y26" s="546" t="s">
        <v>1011</v>
      </c>
      <c r="Z26" s="538" t="s">
        <v>1012</v>
      </c>
      <c r="AA26" s="547"/>
      <c r="AB26" s="538"/>
      <c r="AC26" s="543"/>
      <c r="AD26" s="543">
        <v>1</v>
      </c>
    </row>
    <row r="27" spans="1:30" s="249" customFormat="1" ht="13.5" customHeight="1">
      <c r="A27" s="255">
        <v>17</v>
      </c>
      <c r="B27" s="218"/>
      <c r="C27" s="218"/>
      <c r="D27" s="218" t="s">
        <v>1013</v>
      </c>
      <c r="E27" s="218"/>
      <c r="F27" s="218"/>
      <c r="G27" s="218"/>
      <c r="H27" s="255" t="s">
        <v>1014</v>
      </c>
      <c r="I27" s="501" t="s">
        <v>1015</v>
      </c>
      <c r="J27" s="255"/>
      <c r="K27" s="501" t="s">
        <v>967</v>
      </c>
      <c r="L27" s="255"/>
      <c r="M27" s="255"/>
      <c r="N27" s="255"/>
      <c r="O27" s="255"/>
      <c r="P27" s="377"/>
      <c r="Q27" s="255" t="s">
        <v>817</v>
      </c>
      <c r="R27" s="255"/>
      <c r="S27" s="255" t="s">
        <v>863</v>
      </c>
      <c r="T27" s="374"/>
      <c r="U27" s="255"/>
      <c r="V27" s="375"/>
      <c r="W27" s="375" t="s">
        <v>864</v>
      </c>
      <c r="X27" s="504"/>
      <c r="Y27" s="548" t="s">
        <v>1016</v>
      </c>
      <c r="Z27" s="255" t="s">
        <v>1017</v>
      </c>
      <c r="AA27" s="245"/>
      <c r="AB27" s="255"/>
      <c r="AC27" s="374"/>
      <c r="AD27" s="374">
        <v>1</v>
      </c>
    </row>
    <row r="28" spans="1:30" s="249" customFormat="1" ht="13.5" customHeight="1">
      <c r="A28" s="255">
        <v>18</v>
      </c>
      <c r="B28" s="218"/>
      <c r="C28" s="218" t="s">
        <v>1018</v>
      </c>
      <c r="D28" s="218"/>
      <c r="E28" s="218"/>
      <c r="F28" s="218"/>
      <c r="G28" s="218"/>
      <c r="H28" s="255"/>
      <c r="I28" s="501"/>
      <c r="J28" s="255" t="s">
        <v>1019</v>
      </c>
      <c r="K28" s="501"/>
      <c r="L28" s="255"/>
      <c r="M28" s="255"/>
      <c r="N28" s="255"/>
      <c r="O28" s="255"/>
      <c r="P28" s="377"/>
      <c r="Q28" s="255" t="s">
        <v>817</v>
      </c>
      <c r="R28" s="255" t="s">
        <v>864</v>
      </c>
      <c r="S28" s="549" t="s">
        <v>1019</v>
      </c>
      <c r="T28" s="374"/>
      <c r="U28" s="255"/>
      <c r="V28" s="375"/>
      <c r="W28" s="375" t="s">
        <v>864</v>
      </c>
      <c r="X28" s="504"/>
      <c r="Y28" s="380"/>
      <c r="Z28" s="255"/>
      <c r="AA28" s="245"/>
      <c r="AB28" s="255"/>
      <c r="AC28" s="374">
        <v>1</v>
      </c>
      <c r="AD28" s="374">
        <v>1</v>
      </c>
    </row>
    <row r="29" spans="1:30" s="249" customFormat="1" ht="13.5" customHeight="1">
      <c r="A29" s="255">
        <v>19</v>
      </c>
      <c r="B29" s="218"/>
      <c r="C29" s="218"/>
      <c r="D29" s="218" t="s">
        <v>1020</v>
      </c>
      <c r="E29" s="218"/>
      <c r="F29" s="218"/>
      <c r="G29" s="218"/>
      <c r="H29" s="255" t="s">
        <v>1021</v>
      </c>
      <c r="I29" s="501" t="s">
        <v>1022</v>
      </c>
      <c r="J29" s="255" t="s">
        <v>1023</v>
      </c>
      <c r="K29" s="501"/>
      <c r="L29" s="255" t="s">
        <v>1024</v>
      </c>
      <c r="M29" s="255" t="s">
        <v>1025</v>
      </c>
      <c r="N29" s="255"/>
      <c r="O29" s="255"/>
      <c r="P29" s="377"/>
      <c r="Q29" s="255" t="s">
        <v>817</v>
      </c>
      <c r="R29" s="255"/>
      <c r="S29" s="255" t="s">
        <v>863</v>
      </c>
      <c r="T29" s="374"/>
      <c r="U29" s="255" t="s">
        <v>1026</v>
      </c>
      <c r="V29" s="375"/>
      <c r="W29" s="375" t="s">
        <v>864</v>
      </c>
      <c r="X29" s="504"/>
      <c r="Y29" s="380"/>
      <c r="Z29" s="255"/>
      <c r="AA29" s="245"/>
      <c r="AB29" s="255"/>
      <c r="AC29" s="374">
        <v>1</v>
      </c>
      <c r="AD29" s="374">
        <v>1</v>
      </c>
    </row>
    <row r="30" spans="1:30" s="249" customFormat="1" ht="13.5" customHeight="1">
      <c r="A30" s="255">
        <v>20</v>
      </c>
      <c r="B30" s="218"/>
      <c r="C30" s="218"/>
      <c r="D30" s="218" t="s">
        <v>1027</v>
      </c>
      <c r="E30" s="218"/>
      <c r="F30" s="218"/>
      <c r="G30" s="218"/>
      <c r="H30" s="255" t="s">
        <v>1028</v>
      </c>
      <c r="I30" s="501" t="s">
        <v>1029</v>
      </c>
      <c r="J30" s="255" t="s">
        <v>1030</v>
      </c>
      <c r="K30" s="501"/>
      <c r="L30" s="255"/>
      <c r="M30" s="255"/>
      <c r="N30" s="255"/>
      <c r="O30" s="255"/>
      <c r="P30" s="377"/>
      <c r="Q30" s="255" t="s">
        <v>817</v>
      </c>
      <c r="R30" s="255"/>
      <c r="S30" s="255" t="s">
        <v>863</v>
      </c>
      <c r="T30" s="374"/>
      <c r="U30" s="255" t="s">
        <v>1031</v>
      </c>
      <c r="V30" s="375"/>
      <c r="W30" s="375" t="s">
        <v>864</v>
      </c>
      <c r="X30" s="504"/>
      <c r="Y30" s="380"/>
      <c r="Z30" s="255"/>
      <c r="AA30" s="245" t="s">
        <v>1032</v>
      </c>
      <c r="AB30" s="255"/>
      <c r="AC30" s="374">
        <v>1</v>
      </c>
      <c r="AD30" s="374">
        <v>1</v>
      </c>
    </row>
    <row r="31" spans="1:30" s="249" customFormat="1" ht="13.5" customHeight="1">
      <c r="A31" s="255">
        <v>21</v>
      </c>
      <c r="B31" s="218"/>
      <c r="C31" s="218"/>
      <c r="D31" s="218" t="s">
        <v>1033</v>
      </c>
      <c r="E31" s="218"/>
      <c r="F31" s="218"/>
      <c r="G31" s="218"/>
      <c r="H31" s="255" t="s">
        <v>1034</v>
      </c>
      <c r="I31" s="501" t="s">
        <v>1035</v>
      </c>
      <c r="J31" s="255" t="s">
        <v>939</v>
      </c>
      <c r="K31" s="501"/>
      <c r="L31" s="255"/>
      <c r="M31" s="255"/>
      <c r="N31" s="255"/>
      <c r="O31" s="255"/>
      <c r="P31" s="377"/>
      <c r="Q31" s="255" t="s">
        <v>817</v>
      </c>
      <c r="R31" s="255"/>
      <c r="S31" s="255" t="s">
        <v>863</v>
      </c>
      <c r="T31" s="374"/>
      <c r="U31" s="255"/>
      <c r="V31" s="375"/>
      <c r="W31" s="375" t="s">
        <v>864</v>
      </c>
      <c r="X31" s="504"/>
      <c r="Y31" s="380"/>
      <c r="Z31" s="255"/>
      <c r="AA31" s="245"/>
      <c r="AB31" s="255"/>
      <c r="AC31" s="374">
        <v>1</v>
      </c>
      <c r="AD31" s="374">
        <v>1</v>
      </c>
    </row>
    <row r="32" spans="1:30" s="249" customFormat="1" ht="13.5" customHeight="1">
      <c r="A32" s="225"/>
      <c r="B32" s="217"/>
      <c r="C32" s="218" t="s">
        <v>1036</v>
      </c>
      <c r="D32" s="241"/>
      <c r="E32" s="241"/>
      <c r="F32" s="241"/>
      <c r="G32" s="241"/>
      <c r="H32" s="575"/>
      <c r="I32" s="611"/>
      <c r="J32" s="575"/>
      <c r="K32" s="611" t="s">
        <v>908</v>
      </c>
      <c r="L32" s="575"/>
      <c r="M32" s="575"/>
      <c r="N32" s="575"/>
      <c r="O32" s="575"/>
      <c r="P32" s="612"/>
      <c r="Q32" s="575" t="s">
        <v>817</v>
      </c>
      <c r="R32" s="575"/>
      <c r="S32" s="575" t="s">
        <v>863</v>
      </c>
      <c r="T32" s="613"/>
      <c r="U32" s="575" t="s">
        <v>1037</v>
      </c>
      <c r="V32" s="614"/>
      <c r="W32" s="614"/>
      <c r="X32" s="504"/>
      <c r="Y32" s="615"/>
      <c r="Z32" s="575"/>
      <c r="AA32" s="616"/>
      <c r="AB32" s="575"/>
      <c r="AC32" s="613"/>
      <c r="AD32" s="613"/>
    </row>
    <row r="33" spans="1:30" s="224" customFormat="1" ht="13.5" customHeight="1">
      <c r="A33" s="225">
        <v>22</v>
      </c>
      <c r="B33" s="217" t="s">
        <v>1038</v>
      </c>
      <c r="C33" s="216"/>
      <c r="D33" s="217"/>
      <c r="E33" s="217"/>
      <c r="F33" s="217"/>
      <c r="G33" s="217"/>
      <c r="H33" s="575" t="s">
        <v>1039</v>
      </c>
      <c r="I33" s="611"/>
      <c r="J33" s="575" t="s">
        <v>1040</v>
      </c>
      <c r="K33" s="611" t="s">
        <v>1041</v>
      </c>
      <c r="L33" s="575"/>
      <c r="M33" s="575"/>
      <c r="N33" s="575"/>
      <c r="O33" s="575"/>
      <c r="P33" s="612"/>
      <c r="Q33" s="575" t="s">
        <v>820</v>
      </c>
      <c r="R33" s="575" t="s">
        <v>864</v>
      </c>
      <c r="S33" s="243" t="s">
        <v>1041</v>
      </c>
      <c r="T33" s="281"/>
      <c r="U33" s="575"/>
      <c r="V33" s="614"/>
      <c r="W33" s="614" t="s">
        <v>864</v>
      </c>
      <c r="X33" s="232"/>
      <c r="Y33" s="615"/>
      <c r="Z33" s="575"/>
      <c r="AA33" s="616"/>
      <c r="AB33" s="575"/>
      <c r="AC33" s="613">
        <v>1</v>
      </c>
      <c r="AD33" s="613">
        <v>1</v>
      </c>
    </row>
    <row r="34" spans="1:30" s="224" customFormat="1" ht="13.5" customHeight="1">
      <c r="A34" s="225">
        <v>23</v>
      </c>
      <c r="B34" s="217"/>
      <c r="C34" s="217" t="s">
        <v>1042</v>
      </c>
      <c r="D34" s="217"/>
      <c r="E34" s="217"/>
      <c r="F34" s="217"/>
      <c r="G34" s="217"/>
      <c r="H34" s="575" t="s">
        <v>1043</v>
      </c>
      <c r="I34" s="611" t="s">
        <v>1044</v>
      </c>
      <c r="J34" s="575" t="s">
        <v>1045</v>
      </c>
      <c r="K34" s="611"/>
      <c r="L34" s="575"/>
      <c r="M34" s="575"/>
      <c r="N34" s="575"/>
      <c r="O34" s="575"/>
      <c r="P34" s="612"/>
      <c r="Q34" s="575" t="s">
        <v>820</v>
      </c>
      <c r="R34" s="575"/>
      <c r="S34" s="575" t="s">
        <v>863</v>
      </c>
      <c r="T34" s="613"/>
      <c r="U34" s="575"/>
      <c r="V34" s="614"/>
      <c r="W34" s="614" t="s">
        <v>864</v>
      </c>
      <c r="X34" s="232"/>
      <c r="Y34" s="615"/>
      <c r="Z34" s="575"/>
      <c r="AA34" s="616"/>
      <c r="AB34" s="575"/>
      <c r="AC34" s="613">
        <v>1</v>
      </c>
      <c r="AD34" s="613">
        <v>1</v>
      </c>
    </row>
    <row r="35" spans="1:30" s="249" customFormat="1" ht="13.5" customHeight="1">
      <c r="A35" s="225">
        <v>24</v>
      </c>
      <c r="B35" s="217"/>
      <c r="C35" s="219" t="s">
        <v>1046</v>
      </c>
      <c r="D35" s="219"/>
      <c r="E35" s="220"/>
      <c r="F35" s="220"/>
      <c r="G35" s="220"/>
      <c r="H35" s="575" t="s">
        <v>1047</v>
      </c>
      <c r="I35" s="611" t="s">
        <v>1048</v>
      </c>
      <c r="J35" s="575" t="s">
        <v>1049</v>
      </c>
      <c r="K35" s="611"/>
      <c r="L35" s="575"/>
      <c r="M35" s="575"/>
      <c r="N35" s="575"/>
      <c r="O35" s="575"/>
      <c r="P35" s="252"/>
      <c r="Q35" s="575" t="s">
        <v>817</v>
      </c>
      <c r="R35" s="575"/>
      <c r="S35" s="575" t="s">
        <v>863</v>
      </c>
      <c r="T35" s="613"/>
      <c r="U35" s="575"/>
      <c r="V35" s="614"/>
      <c r="W35" s="614" t="s">
        <v>864</v>
      </c>
      <c r="X35" s="232"/>
      <c r="Y35" s="615"/>
      <c r="Z35" s="575"/>
      <c r="AA35" s="616"/>
      <c r="AB35" s="575"/>
      <c r="AC35" s="613">
        <v>1</v>
      </c>
      <c r="AD35" s="613"/>
    </row>
    <row r="36" spans="1:30" s="224" customFormat="1" ht="13.5" customHeight="1">
      <c r="A36" s="225">
        <v>25</v>
      </c>
      <c r="B36" s="217"/>
      <c r="C36" s="217" t="s">
        <v>1050</v>
      </c>
      <c r="D36" s="217"/>
      <c r="E36" s="217"/>
      <c r="F36" s="217"/>
      <c r="G36" s="217"/>
      <c r="H36" s="263" t="s">
        <v>1051</v>
      </c>
      <c r="I36" s="611" t="s">
        <v>1052</v>
      </c>
      <c r="J36" s="575" t="s">
        <v>871</v>
      </c>
      <c r="K36" s="611"/>
      <c r="L36" s="575" t="s">
        <v>1053</v>
      </c>
      <c r="M36" s="575" t="s">
        <v>1054</v>
      </c>
      <c r="N36" s="575"/>
      <c r="O36" s="575"/>
      <c r="P36" s="252"/>
      <c r="Q36" s="575" t="s">
        <v>817</v>
      </c>
      <c r="R36" s="575"/>
      <c r="S36" s="575" t="s">
        <v>863</v>
      </c>
      <c r="T36" s="613"/>
      <c r="U36" s="575"/>
      <c r="V36" s="614"/>
      <c r="W36" s="614" t="s">
        <v>864</v>
      </c>
      <c r="X36" s="232"/>
      <c r="Y36" s="615"/>
      <c r="Z36" s="575"/>
      <c r="AA36" s="616"/>
      <c r="AB36" s="575"/>
      <c r="AC36" s="613">
        <v>1</v>
      </c>
      <c r="AD36" s="613">
        <v>1</v>
      </c>
    </row>
    <row r="37" spans="1:30" s="224" customFormat="1" ht="13.5" customHeight="1">
      <c r="A37" s="225">
        <v>110</v>
      </c>
      <c r="B37" s="217"/>
      <c r="C37" s="241" t="s">
        <v>1055</v>
      </c>
      <c r="D37" s="221"/>
      <c r="E37" s="221"/>
      <c r="F37" s="221"/>
      <c r="G37" s="221"/>
      <c r="H37" s="575" t="s">
        <v>1056</v>
      </c>
      <c r="I37" s="618"/>
      <c r="J37" s="575"/>
      <c r="K37" s="501" t="s">
        <v>1057</v>
      </c>
      <c r="L37" s="575"/>
      <c r="M37" s="575"/>
      <c r="N37" s="575"/>
      <c r="O37" s="575"/>
      <c r="P37" s="612"/>
      <c r="Q37" s="575" t="s">
        <v>823</v>
      </c>
      <c r="R37" s="575" t="s">
        <v>864</v>
      </c>
      <c r="S37" s="502" t="s">
        <v>1057</v>
      </c>
      <c r="T37" s="613"/>
      <c r="U37" s="613"/>
      <c r="V37" s="375"/>
      <c r="W37" s="260" t="s">
        <v>864</v>
      </c>
      <c r="X37" s="232"/>
      <c r="Y37" s="615"/>
      <c r="Z37" s="575"/>
      <c r="AA37" s="616"/>
      <c r="AB37" s="575"/>
      <c r="AC37" s="613"/>
      <c r="AD37" s="613">
        <v>1</v>
      </c>
    </row>
    <row r="38" spans="1:30" s="224" customFormat="1" ht="13.5" customHeight="1">
      <c r="A38" s="225">
        <v>111</v>
      </c>
      <c r="B38" s="217"/>
      <c r="C38" s="241"/>
      <c r="D38" s="241" t="s">
        <v>1058</v>
      </c>
      <c r="E38" s="241"/>
      <c r="F38" s="241"/>
      <c r="G38" s="241"/>
      <c r="H38" s="575" t="s">
        <v>1059</v>
      </c>
      <c r="I38" s="618" t="s">
        <v>1060</v>
      </c>
      <c r="J38" s="575"/>
      <c r="K38" s="611" t="s">
        <v>908</v>
      </c>
      <c r="L38" s="575"/>
      <c r="M38" s="575"/>
      <c r="N38" s="575"/>
      <c r="O38" s="575"/>
      <c r="P38" s="612"/>
      <c r="Q38" s="575" t="s">
        <v>820</v>
      </c>
      <c r="R38" s="575"/>
      <c r="S38" s="575" t="s">
        <v>863</v>
      </c>
      <c r="T38" s="613"/>
      <c r="U38" s="611" t="s">
        <v>1061</v>
      </c>
      <c r="V38" s="375"/>
      <c r="W38" s="260" t="s">
        <v>864</v>
      </c>
      <c r="X38" s="232"/>
      <c r="Y38" s="266" t="s">
        <v>1062</v>
      </c>
      <c r="Z38" s="575" t="s">
        <v>1063</v>
      </c>
      <c r="AA38" s="245"/>
      <c r="AB38" s="575"/>
      <c r="AC38" s="613"/>
      <c r="AD38" s="613">
        <v>1</v>
      </c>
    </row>
    <row r="39" spans="1:30" s="224" customFormat="1" ht="13.5" customHeight="1">
      <c r="A39" s="225">
        <v>112</v>
      </c>
      <c r="B39" s="217"/>
      <c r="C39" s="241"/>
      <c r="D39" s="241" t="s">
        <v>1064</v>
      </c>
      <c r="E39" s="241"/>
      <c r="F39" s="241"/>
      <c r="G39" s="241"/>
      <c r="H39" s="575" t="s">
        <v>1065</v>
      </c>
      <c r="I39" s="618" t="s">
        <v>1066</v>
      </c>
      <c r="J39" s="575"/>
      <c r="K39" s="611" t="s">
        <v>1067</v>
      </c>
      <c r="L39" s="575"/>
      <c r="M39" s="575"/>
      <c r="N39" s="575"/>
      <c r="O39" s="575"/>
      <c r="P39" s="612"/>
      <c r="Q39" s="575" t="s">
        <v>820</v>
      </c>
      <c r="R39" s="575"/>
      <c r="S39" s="575" t="s">
        <v>863</v>
      </c>
      <c r="T39" s="613"/>
      <c r="U39" s="613"/>
      <c r="V39" s="375"/>
      <c r="W39" s="260" t="s">
        <v>864</v>
      </c>
      <c r="X39" s="232"/>
      <c r="Y39" s="615"/>
      <c r="Z39" s="575"/>
      <c r="AA39" s="245"/>
      <c r="AB39" s="575"/>
      <c r="AC39" s="613"/>
      <c r="AD39" s="613">
        <v>1</v>
      </c>
    </row>
    <row r="40" spans="1:30" s="224" customFormat="1" ht="13.5" customHeight="1">
      <c r="A40" s="225">
        <v>26</v>
      </c>
      <c r="B40" s="217"/>
      <c r="C40" s="217" t="s">
        <v>1068</v>
      </c>
      <c r="D40" s="221"/>
      <c r="E40" s="221"/>
      <c r="F40" s="221"/>
      <c r="G40" s="221"/>
      <c r="H40" s="575"/>
      <c r="I40" s="611"/>
      <c r="J40" s="575"/>
      <c r="K40" s="611" t="s">
        <v>1069</v>
      </c>
      <c r="L40" s="575"/>
      <c r="M40" s="575"/>
      <c r="N40" s="575"/>
      <c r="O40" s="575"/>
      <c r="P40" s="612"/>
      <c r="Q40" s="575" t="s">
        <v>817</v>
      </c>
      <c r="R40" s="575" t="s">
        <v>864</v>
      </c>
      <c r="S40" s="243" t="s">
        <v>1069</v>
      </c>
      <c r="T40" s="613"/>
      <c r="U40" s="575"/>
      <c r="V40" s="614"/>
      <c r="W40" s="614" t="s">
        <v>864</v>
      </c>
      <c r="X40" s="232"/>
      <c r="Y40" s="615"/>
      <c r="Z40" s="575"/>
      <c r="AA40" s="616"/>
      <c r="AB40" s="575"/>
      <c r="AC40" s="613">
        <v>1</v>
      </c>
      <c r="AD40" s="613">
        <v>1</v>
      </c>
    </row>
    <row r="41" spans="1:30" s="224" customFormat="1" ht="13.5" customHeight="1">
      <c r="A41" s="225">
        <v>27</v>
      </c>
      <c r="B41" s="217"/>
      <c r="C41" s="217"/>
      <c r="D41" s="610" t="s">
        <v>1070</v>
      </c>
      <c r="E41" s="253"/>
      <c r="F41" s="239"/>
      <c r="G41" s="239"/>
      <c r="H41" s="575" t="s">
        <v>1071</v>
      </c>
      <c r="I41" s="611" t="s">
        <v>1072</v>
      </c>
      <c r="J41" s="575" t="s">
        <v>1073</v>
      </c>
      <c r="K41" s="611" t="s">
        <v>1074</v>
      </c>
      <c r="L41" s="575"/>
      <c r="M41" s="575"/>
      <c r="N41" s="575"/>
      <c r="O41" s="575"/>
      <c r="P41" s="612"/>
      <c r="Q41" s="575" t="s">
        <v>820</v>
      </c>
      <c r="R41" s="575"/>
      <c r="S41" s="575" t="s">
        <v>863</v>
      </c>
      <c r="T41" s="613"/>
      <c r="U41" s="575" t="s">
        <v>1075</v>
      </c>
      <c r="V41" s="614"/>
      <c r="W41" s="614" t="s">
        <v>864</v>
      </c>
      <c r="X41" s="232"/>
      <c r="Y41" s="615"/>
      <c r="Z41" s="575"/>
      <c r="AA41" s="616"/>
      <c r="AB41" s="575"/>
      <c r="AC41" s="613">
        <v>1</v>
      </c>
      <c r="AD41" s="613">
        <v>1</v>
      </c>
    </row>
    <row r="42" spans="1:30" s="254" customFormat="1" ht="13.5" customHeight="1">
      <c r="A42" s="225">
        <v>28</v>
      </c>
      <c r="B42" s="217"/>
      <c r="C42" s="222"/>
      <c r="D42" s="610" t="s">
        <v>1076</v>
      </c>
      <c r="E42" s="221"/>
      <c r="F42" s="221"/>
      <c r="G42" s="221"/>
      <c r="H42" s="575" t="s">
        <v>1077</v>
      </c>
      <c r="I42" s="611" t="s">
        <v>1078</v>
      </c>
      <c r="J42" s="575"/>
      <c r="K42" s="611" t="s">
        <v>1079</v>
      </c>
      <c r="L42" s="575" t="s">
        <v>1080</v>
      </c>
      <c r="M42" s="575" t="s">
        <v>254</v>
      </c>
      <c r="N42" s="575"/>
      <c r="O42" s="575"/>
      <c r="P42" s="612"/>
      <c r="Q42" s="575" t="s">
        <v>817</v>
      </c>
      <c r="R42" s="575"/>
      <c r="S42" s="575" t="s">
        <v>863</v>
      </c>
      <c r="T42" s="613"/>
      <c r="U42" s="575"/>
      <c r="V42" s="614"/>
      <c r="W42" s="614" t="s">
        <v>864</v>
      </c>
      <c r="X42" s="232"/>
      <c r="Y42" s="615"/>
      <c r="Z42" s="575"/>
      <c r="AA42" s="616"/>
      <c r="AB42" s="575"/>
      <c r="AC42" s="613">
        <v>1</v>
      </c>
      <c r="AD42" s="613">
        <v>1</v>
      </c>
    </row>
    <row r="43" spans="1:30" s="254" customFormat="1" ht="13.5" customHeight="1">
      <c r="A43" s="225">
        <v>29</v>
      </c>
      <c r="B43" s="217"/>
      <c r="C43" s="222"/>
      <c r="D43" s="610" t="s">
        <v>1081</v>
      </c>
      <c r="E43" s="221"/>
      <c r="F43" s="221"/>
      <c r="G43" s="221"/>
      <c r="H43" s="575"/>
      <c r="I43" s="611"/>
      <c r="J43" s="575"/>
      <c r="K43" s="611" t="s">
        <v>1082</v>
      </c>
      <c r="L43" s="575" t="s">
        <v>1083</v>
      </c>
      <c r="M43" s="575" t="s">
        <v>1084</v>
      </c>
      <c r="N43" s="575"/>
      <c r="O43" s="575"/>
      <c r="P43" s="612"/>
      <c r="Q43" s="575" t="s">
        <v>817</v>
      </c>
      <c r="R43" s="575" t="s">
        <v>864</v>
      </c>
      <c r="S43" s="243" t="s">
        <v>1082</v>
      </c>
      <c r="T43" s="613"/>
      <c r="U43" s="575"/>
      <c r="V43" s="614"/>
      <c r="W43" s="614" t="s">
        <v>864</v>
      </c>
      <c r="X43" s="232"/>
      <c r="Y43" s="615"/>
      <c r="Z43" s="575"/>
      <c r="AA43" s="616"/>
      <c r="AB43" s="575"/>
      <c r="AC43" s="613">
        <v>1</v>
      </c>
      <c r="AD43" s="613">
        <v>1</v>
      </c>
    </row>
    <row r="44" spans="1:30" s="254" customFormat="1" ht="13.5" customHeight="1">
      <c r="A44" s="225">
        <v>30</v>
      </c>
      <c r="B44" s="217"/>
      <c r="C44" s="222"/>
      <c r="D44" s="241"/>
      <c r="E44" s="241" t="s">
        <v>1085</v>
      </c>
      <c r="F44" s="241"/>
      <c r="G44" s="241"/>
      <c r="H44" s="575" t="s">
        <v>1086</v>
      </c>
      <c r="I44" s="611" t="s">
        <v>1087</v>
      </c>
      <c r="J44" s="575"/>
      <c r="K44" s="611" t="s">
        <v>1074</v>
      </c>
      <c r="L44" s="575"/>
      <c r="M44" s="575"/>
      <c r="N44" s="575"/>
      <c r="O44" s="575"/>
      <c r="P44" s="612"/>
      <c r="Q44" s="575" t="s">
        <v>820</v>
      </c>
      <c r="R44" s="575"/>
      <c r="S44" s="575" t="s">
        <v>863</v>
      </c>
      <c r="T44" s="613"/>
      <c r="U44" s="575" t="s">
        <v>1088</v>
      </c>
      <c r="V44" s="614"/>
      <c r="W44" s="614" t="s">
        <v>864</v>
      </c>
      <c r="X44" s="232"/>
      <c r="Y44" s="615"/>
      <c r="Z44" s="575"/>
      <c r="AA44" s="616"/>
      <c r="AB44" s="575"/>
      <c r="AC44" s="613">
        <v>1</v>
      </c>
      <c r="AD44" s="613">
        <v>1</v>
      </c>
    </row>
    <row r="45" spans="1:30" s="224" customFormat="1" ht="13.5" customHeight="1">
      <c r="A45" s="225">
        <v>31</v>
      </c>
      <c r="B45" s="217"/>
      <c r="C45" s="217"/>
      <c r="D45" s="241"/>
      <c r="E45" s="241" t="s">
        <v>1089</v>
      </c>
      <c r="F45" s="241"/>
      <c r="G45" s="241"/>
      <c r="H45" s="575"/>
      <c r="I45" s="611" t="s">
        <v>1090</v>
      </c>
      <c r="J45" s="575"/>
      <c r="K45" s="611" t="s">
        <v>958</v>
      </c>
      <c r="L45" s="575"/>
      <c r="M45" s="575"/>
      <c r="N45" s="575"/>
      <c r="O45" s="575"/>
      <c r="P45" s="612"/>
      <c r="Q45" s="575" t="s">
        <v>817</v>
      </c>
      <c r="R45" s="575"/>
      <c r="S45" s="575" t="s">
        <v>863</v>
      </c>
      <c r="T45" s="613"/>
      <c r="U45" s="575"/>
      <c r="V45" s="614"/>
      <c r="W45" s="614" t="s">
        <v>864</v>
      </c>
      <c r="X45" s="232"/>
      <c r="Y45" s="615"/>
      <c r="Z45" s="575"/>
      <c r="AA45" s="616"/>
      <c r="AB45" s="575"/>
      <c r="AC45" s="613">
        <v>1</v>
      </c>
      <c r="AD45" s="613">
        <v>1</v>
      </c>
    </row>
    <row r="46" spans="1:30" s="224" customFormat="1" ht="13.5" customHeight="1">
      <c r="A46" s="225">
        <v>32</v>
      </c>
      <c r="B46" s="217"/>
      <c r="C46" s="217"/>
      <c r="D46" s="241"/>
      <c r="E46" s="241" t="s">
        <v>1091</v>
      </c>
      <c r="F46" s="241"/>
      <c r="G46" s="241"/>
      <c r="H46" s="575"/>
      <c r="I46" s="611" t="s">
        <v>1092</v>
      </c>
      <c r="J46" s="575"/>
      <c r="K46" s="611" t="s">
        <v>871</v>
      </c>
      <c r="L46" s="575"/>
      <c r="M46" s="575"/>
      <c r="N46" s="575"/>
      <c r="O46" s="575"/>
      <c r="P46" s="612"/>
      <c r="Q46" s="575" t="s">
        <v>817</v>
      </c>
      <c r="R46" s="575"/>
      <c r="S46" s="575" t="s">
        <v>863</v>
      </c>
      <c r="T46" s="613"/>
      <c r="U46" s="575"/>
      <c r="V46" s="614"/>
      <c r="W46" s="614" t="s">
        <v>864</v>
      </c>
      <c r="X46" s="232"/>
      <c r="Y46" s="615"/>
      <c r="Z46" s="575"/>
      <c r="AA46" s="616"/>
      <c r="AB46" s="575"/>
      <c r="AC46" s="613">
        <v>1</v>
      </c>
      <c r="AD46" s="613">
        <v>1</v>
      </c>
    </row>
    <row r="47" spans="1:30" s="224" customFormat="1" ht="13.5" customHeight="1">
      <c r="A47" s="225">
        <v>33</v>
      </c>
      <c r="B47" s="217"/>
      <c r="C47" s="217" t="s">
        <v>1093</v>
      </c>
      <c r="D47" s="221"/>
      <c r="E47" s="221"/>
      <c r="F47" s="221"/>
      <c r="G47" s="221"/>
      <c r="H47" s="575"/>
      <c r="I47" s="611"/>
      <c r="J47" s="575"/>
      <c r="K47" s="611" t="s">
        <v>1094</v>
      </c>
      <c r="L47" s="575"/>
      <c r="M47" s="575"/>
      <c r="N47" s="575"/>
      <c r="O47" s="575"/>
      <c r="P47" s="612"/>
      <c r="Q47" s="575" t="s">
        <v>817</v>
      </c>
      <c r="R47" s="575" t="s">
        <v>864</v>
      </c>
      <c r="S47" s="243" t="s">
        <v>1094</v>
      </c>
      <c r="T47" s="613"/>
      <c r="U47" s="575"/>
      <c r="V47" s="614"/>
      <c r="W47" s="614" t="s">
        <v>864</v>
      </c>
      <c r="X47" s="232"/>
      <c r="Y47" s="615"/>
      <c r="Z47" s="575"/>
      <c r="AA47" s="616"/>
      <c r="AB47" s="575"/>
      <c r="AC47" s="613"/>
      <c r="AD47" s="613">
        <v>1</v>
      </c>
    </row>
    <row r="48" spans="1:30" s="231" customFormat="1" ht="13.5" customHeight="1">
      <c r="A48" s="225">
        <v>34</v>
      </c>
      <c r="B48" s="217"/>
      <c r="C48" s="217"/>
      <c r="D48" s="241" t="s">
        <v>388</v>
      </c>
      <c r="E48" s="217"/>
      <c r="F48" s="217"/>
      <c r="G48" s="217"/>
      <c r="H48" s="575" t="s">
        <v>1095</v>
      </c>
      <c r="I48" s="611" t="s">
        <v>1096</v>
      </c>
      <c r="J48" s="575" t="s">
        <v>1094</v>
      </c>
      <c r="K48" s="611" t="s">
        <v>871</v>
      </c>
      <c r="L48" s="575" t="s">
        <v>1097</v>
      </c>
      <c r="M48" s="575" t="s">
        <v>388</v>
      </c>
      <c r="N48" s="575"/>
      <c r="O48" s="575"/>
      <c r="P48" s="252"/>
      <c r="Q48" s="575" t="s">
        <v>817</v>
      </c>
      <c r="R48" s="575"/>
      <c r="S48" s="575" t="s">
        <v>863</v>
      </c>
      <c r="T48" s="613"/>
      <c r="U48" s="575"/>
      <c r="V48" s="614"/>
      <c r="W48" s="614" t="s">
        <v>864</v>
      </c>
      <c r="X48" s="232"/>
      <c r="Y48" s="615"/>
      <c r="Z48" s="255"/>
      <c r="AA48" s="245" t="s">
        <v>1098</v>
      </c>
      <c r="AB48" s="575"/>
      <c r="AC48" s="613">
        <v>1</v>
      </c>
      <c r="AD48" s="613">
        <v>1</v>
      </c>
    </row>
    <row r="49" spans="1:30" s="224" customFormat="1" ht="13.5" customHeight="1">
      <c r="A49" s="225">
        <v>35</v>
      </c>
      <c r="B49" s="217"/>
      <c r="C49" s="217"/>
      <c r="D49" s="241" t="s">
        <v>392</v>
      </c>
      <c r="E49" s="217"/>
      <c r="F49" s="217"/>
      <c r="G49" s="217"/>
      <c r="H49" s="575" t="s">
        <v>1099</v>
      </c>
      <c r="I49" s="611">
        <v>59350</v>
      </c>
      <c r="J49" s="575" t="s">
        <v>1100</v>
      </c>
      <c r="K49" s="611" t="s">
        <v>1101</v>
      </c>
      <c r="L49" s="575" t="s">
        <v>1102</v>
      </c>
      <c r="M49" s="575" t="s">
        <v>392</v>
      </c>
      <c r="N49" s="575"/>
      <c r="O49" s="575"/>
      <c r="P49" s="252"/>
      <c r="Q49" s="575" t="s">
        <v>817</v>
      </c>
      <c r="R49" s="575"/>
      <c r="S49" s="575" t="s">
        <v>863</v>
      </c>
      <c r="T49" s="613"/>
      <c r="U49" s="575" t="s">
        <v>1103</v>
      </c>
      <c r="V49" s="614"/>
      <c r="W49" s="614" t="s">
        <v>864</v>
      </c>
      <c r="X49" s="232"/>
      <c r="Y49" s="615"/>
      <c r="Z49" s="575"/>
      <c r="AA49" s="616"/>
      <c r="AB49" s="575"/>
      <c r="AC49" s="613">
        <v>1</v>
      </c>
      <c r="AD49" s="613">
        <v>1</v>
      </c>
    </row>
    <row r="50" spans="1:30" s="224" customFormat="1" ht="13.5" customHeight="1">
      <c r="A50" s="225">
        <v>36</v>
      </c>
      <c r="B50" s="217"/>
      <c r="C50" s="217"/>
      <c r="D50" s="241" t="s">
        <v>1104</v>
      </c>
      <c r="E50" s="241"/>
      <c r="F50" s="241"/>
      <c r="G50" s="241"/>
      <c r="H50" s="263" t="s">
        <v>1105</v>
      </c>
      <c r="I50" s="611" t="s">
        <v>1106</v>
      </c>
      <c r="J50" s="575"/>
      <c r="K50" s="611" t="s">
        <v>1107</v>
      </c>
      <c r="L50" s="575"/>
      <c r="M50" s="575"/>
      <c r="N50" s="575"/>
      <c r="O50" s="575"/>
      <c r="P50" s="612"/>
      <c r="Q50" s="575" t="s">
        <v>817</v>
      </c>
      <c r="R50" s="575"/>
      <c r="S50" s="619" t="s">
        <v>863</v>
      </c>
      <c r="T50" s="282"/>
      <c r="U50" s="575"/>
      <c r="V50" s="614"/>
      <c r="W50" s="614" t="s">
        <v>864</v>
      </c>
      <c r="X50" s="232"/>
      <c r="Y50" s="615"/>
      <c r="Z50" s="575"/>
      <c r="AA50" s="616"/>
      <c r="AB50" s="575"/>
      <c r="AC50" s="613"/>
      <c r="AD50" s="613">
        <v>1</v>
      </c>
    </row>
    <row r="51" spans="1:30" s="256" customFormat="1" ht="12.75" customHeight="1">
      <c r="A51" s="225">
        <v>37</v>
      </c>
      <c r="B51" s="217"/>
      <c r="C51" s="217" t="s">
        <v>1108</v>
      </c>
      <c r="D51" s="221"/>
      <c r="E51" s="221"/>
      <c r="F51" s="221"/>
      <c r="G51" s="221"/>
      <c r="H51" s="575" t="s">
        <v>1109</v>
      </c>
      <c r="I51" s="611"/>
      <c r="J51" s="575"/>
      <c r="K51" s="611" t="s">
        <v>1110</v>
      </c>
      <c r="L51" s="575"/>
      <c r="M51" s="575"/>
      <c r="N51" s="575"/>
      <c r="O51" s="575"/>
      <c r="P51" s="612"/>
      <c r="Q51" s="575" t="s">
        <v>817</v>
      </c>
      <c r="R51" s="575" t="s">
        <v>864</v>
      </c>
      <c r="S51" s="243" t="s">
        <v>1110</v>
      </c>
      <c r="T51" s="613"/>
      <c r="U51" s="575"/>
      <c r="V51" s="614"/>
      <c r="W51" s="614" t="s">
        <v>864</v>
      </c>
      <c r="X51" s="232"/>
      <c r="Y51" s="615"/>
      <c r="Z51" s="575"/>
      <c r="AA51" s="616"/>
      <c r="AB51" s="575"/>
      <c r="AC51" s="613">
        <v>1</v>
      </c>
      <c r="AD51" s="613">
        <v>1</v>
      </c>
    </row>
    <row r="52" spans="1:30" s="256" customFormat="1" ht="12.75" customHeight="1">
      <c r="A52" s="225">
        <v>38</v>
      </c>
      <c r="B52" s="217"/>
      <c r="C52" s="217"/>
      <c r="D52" s="610" t="s">
        <v>415</v>
      </c>
      <c r="E52" s="221"/>
      <c r="F52" s="221"/>
      <c r="G52" s="221"/>
      <c r="H52" s="575" t="s">
        <v>1111</v>
      </c>
      <c r="I52" s="611" t="s">
        <v>1112</v>
      </c>
      <c r="J52" s="575"/>
      <c r="K52" s="611" t="s">
        <v>1113</v>
      </c>
      <c r="L52" s="575" t="s">
        <v>1114</v>
      </c>
      <c r="M52" s="575" t="s">
        <v>415</v>
      </c>
      <c r="N52" s="575"/>
      <c r="O52" s="575"/>
      <c r="P52" s="612"/>
      <c r="Q52" s="575" t="s">
        <v>817</v>
      </c>
      <c r="R52" s="575"/>
      <c r="S52" s="619" t="s">
        <v>863</v>
      </c>
      <c r="T52" s="282"/>
      <c r="U52" s="575"/>
      <c r="V52" s="614"/>
      <c r="W52" s="614" t="s">
        <v>864</v>
      </c>
      <c r="X52" s="232"/>
      <c r="Y52" s="615"/>
      <c r="Z52" s="575"/>
      <c r="AA52" s="616"/>
      <c r="AB52" s="575"/>
      <c r="AC52" s="613">
        <v>1</v>
      </c>
      <c r="AD52" s="613">
        <v>1</v>
      </c>
    </row>
    <row r="53" spans="1:30" s="256" customFormat="1" ht="12.75" customHeight="1">
      <c r="A53" s="225">
        <v>39</v>
      </c>
      <c r="B53" s="217"/>
      <c r="C53" s="217"/>
      <c r="D53" s="610" t="s">
        <v>1115</v>
      </c>
      <c r="E53" s="221"/>
      <c r="F53" s="221"/>
      <c r="G53" s="221"/>
      <c r="H53" s="575" t="s">
        <v>1116</v>
      </c>
      <c r="I53" s="611" t="s">
        <v>1117</v>
      </c>
      <c r="J53" s="575"/>
      <c r="K53" s="611" t="s">
        <v>1118</v>
      </c>
      <c r="L53" s="575" t="s">
        <v>1119</v>
      </c>
      <c r="M53" s="575" t="s">
        <v>424</v>
      </c>
      <c r="N53" s="575"/>
      <c r="O53" s="575"/>
      <c r="P53" s="612"/>
      <c r="Q53" s="575" t="s">
        <v>817</v>
      </c>
      <c r="R53" s="575"/>
      <c r="S53" s="619" t="s">
        <v>863</v>
      </c>
      <c r="T53" s="282"/>
      <c r="U53" s="575"/>
      <c r="V53" s="614"/>
      <c r="W53" s="614" t="s">
        <v>864</v>
      </c>
      <c r="X53" s="232"/>
      <c r="Y53" s="615"/>
      <c r="Z53" s="575"/>
      <c r="AA53" s="616"/>
      <c r="AB53" s="575"/>
      <c r="AC53" s="613">
        <v>1</v>
      </c>
      <c r="AD53" s="613">
        <v>1</v>
      </c>
    </row>
    <row r="54" spans="1:30" s="244" customFormat="1" ht="12.75" customHeight="1">
      <c r="A54" s="225">
        <v>40</v>
      </c>
      <c r="B54" s="217"/>
      <c r="C54" s="222"/>
      <c r="D54" s="610" t="s">
        <v>429</v>
      </c>
      <c r="E54" s="221"/>
      <c r="F54" s="221"/>
      <c r="G54" s="221"/>
      <c r="H54" s="575" t="s">
        <v>1120</v>
      </c>
      <c r="I54" s="611" t="s">
        <v>1121</v>
      </c>
      <c r="J54" s="575"/>
      <c r="K54" s="611" t="s">
        <v>1122</v>
      </c>
      <c r="L54" s="575"/>
      <c r="M54" s="575"/>
      <c r="N54" s="575"/>
      <c r="O54" s="575"/>
      <c r="P54" s="612"/>
      <c r="Q54" s="575" t="s">
        <v>817</v>
      </c>
      <c r="R54" s="575"/>
      <c r="S54" s="619" t="s">
        <v>863</v>
      </c>
      <c r="T54" s="282"/>
      <c r="U54" s="575"/>
      <c r="V54" s="614"/>
      <c r="W54" s="614" t="s">
        <v>864</v>
      </c>
      <c r="X54" s="232"/>
      <c r="Y54" s="615"/>
      <c r="Z54" s="575"/>
      <c r="AA54" s="616"/>
      <c r="AB54" s="575"/>
      <c r="AC54" s="613">
        <v>1</v>
      </c>
      <c r="AD54" s="613">
        <v>1</v>
      </c>
    </row>
    <row r="55" spans="1:30" s="244" customFormat="1" ht="12.75" customHeight="1">
      <c r="A55" s="225">
        <v>41</v>
      </c>
      <c r="B55" s="217"/>
      <c r="C55" s="222"/>
      <c r="D55" s="610" t="s">
        <v>426</v>
      </c>
      <c r="E55" s="221"/>
      <c r="F55" s="221"/>
      <c r="G55" s="221"/>
      <c r="H55" s="575" t="s">
        <v>1123</v>
      </c>
      <c r="I55" s="611" t="s">
        <v>1124</v>
      </c>
      <c r="J55" s="575"/>
      <c r="K55" s="611" t="s">
        <v>1125</v>
      </c>
      <c r="L55" s="575" t="s">
        <v>1126</v>
      </c>
      <c r="M55" s="575" t="s">
        <v>426</v>
      </c>
      <c r="N55" s="575"/>
      <c r="O55" s="575"/>
      <c r="P55" s="612"/>
      <c r="Q55" s="575" t="s">
        <v>823</v>
      </c>
      <c r="R55" s="575"/>
      <c r="S55" s="619" t="s">
        <v>863</v>
      </c>
      <c r="T55" s="282"/>
      <c r="U55" s="575"/>
      <c r="V55" s="614"/>
      <c r="W55" s="614" t="s">
        <v>864</v>
      </c>
      <c r="X55" s="232"/>
      <c r="Y55" s="615"/>
      <c r="Z55" s="575"/>
      <c r="AA55" s="616"/>
      <c r="AB55" s="575"/>
      <c r="AC55" s="613">
        <v>1</v>
      </c>
      <c r="AD55" s="613">
        <v>1</v>
      </c>
    </row>
    <row r="56" spans="1:30" s="244" customFormat="1" ht="12.75" customHeight="1">
      <c r="A56" s="225">
        <v>42</v>
      </c>
      <c r="B56" s="217"/>
      <c r="C56" s="222"/>
      <c r="D56" s="610" t="s">
        <v>1127</v>
      </c>
      <c r="E56" s="221"/>
      <c r="F56" s="221"/>
      <c r="G56" s="221"/>
      <c r="H56" s="575" t="s">
        <v>1128</v>
      </c>
      <c r="I56" s="611" t="s">
        <v>1129</v>
      </c>
      <c r="J56" s="575"/>
      <c r="K56" s="611" t="s">
        <v>1130</v>
      </c>
      <c r="L56" s="575"/>
      <c r="M56" s="575"/>
      <c r="N56" s="575"/>
      <c r="O56" s="575"/>
      <c r="P56" s="612"/>
      <c r="Q56" s="575" t="s">
        <v>817</v>
      </c>
      <c r="R56" s="575"/>
      <c r="S56" s="619" t="s">
        <v>863</v>
      </c>
      <c r="T56" s="282"/>
      <c r="U56" s="575"/>
      <c r="V56" s="614"/>
      <c r="W56" s="614" t="s">
        <v>864</v>
      </c>
      <c r="X56" s="232"/>
      <c r="Y56" s="615"/>
      <c r="Z56" s="575"/>
      <c r="AA56" s="616"/>
      <c r="AB56" s="575"/>
      <c r="AC56" s="613">
        <v>1</v>
      </c>
      <c r="AD56" s="613">
        <v>1</v>
      </c>
    </row>
    <row r="57" spans="1:30" s="257" customFormat="1" ht="12.75" customHeight="1">
      <c r="A57" s="225">
        <v>43</v>
      </c>
      <c r="B57" s="217"/>
      <c r="C57" s="222"/>
      <c r="D57" s="610" t="s">
        <v>1131</v>
      </c>
      <c r="E57" s="221"/>
      <c r="F57" s="221"/>
      <c r="G57" s="221"/>
      <c r="H57" s="575" t="s">
        <v>410</v>
      </c>
      <c r="I57" s="611" t="s">
        <v>1132</v>
      </c>
      <c r="J57" s="575"/>
      <c r="K57" s="611" t="s">
        <v>1133</v>
      </c>
      <c r="L57" s="575"/>
      <c r="M57" s="575"/>
      <c r="N57" s="575"/>
      <c r="O57" s="575"/>
      <c r="P57" s="612"/>
      <c r="Q57" s="575" t="s">
        <v>817</v>
      </c>
      <c r="R57" s="575"/>
      <c r="S57" s="619" t="s">
        <v>863</v>
      </c>
      <c r="T57" s="282"/>
      <c r="U57" s="575"/>
      <c r="V57" s="614"/>
      <c r="W57" s="614" t="s">
        <v>864</v>
      </c>
      <c r="X57" s="232"/>
      <c r="Y57" s="615"/>
      <c r="Z57" s="575"/>
      <c r="AA57" s="616"/>
      <c r="AB57" s="575"/>
      <c r="AC57" s="613">
        <v>1</v>
      </c>
      <c r="AD57" s="613">
        <v>1</v>
      </c>
    </row>
    <row r="58" spans="1:30" s="258" customFormat="1" ht="12.75" customHeight="1">
      <c r="A58" s="225">
        <v>44</v>
      </c>
      <c r="B58" s="217"/>
      <c r="C58" s="218"/>
      <c r="D58" s="610" t="s">
        <v>1134</v>
      </c>
      <c r="E58" s="221"/>
      <c r="F58" s="221"/>
      <c r="G58" s="221"/>
      <c r="H58" s="575"/>
      <c r="I58" s="611" t="s">
        <v>1135</v>
      </c>
      <c r="J58" s="575"/>
      <c r="K58" s="611" t="s">
        <v>1136</v>
      </c>
      <c r="L58" s="575"/>
      <c r="M58" s="575"/>
      <c r="N58" s="575"/>
      <c r="O58" s="575"/>
      <c r="P58" s="612"/>
      <c r="Q58" s="575" t="s">
        <v>817</v>
      </c>
      <c r="R58" s="575"/>
      <c r="S58" s="619" t="s">
        <v>863</v>
      </c>
      <c r="T58" s="282"/>
      <c r="U58" s="575"/>
      <c r="V58" s="614"/>
      <c r="W58" s="614" t="s">
        <v>864</v>
      </c>
      <c r="X58" s="232"/>
      <c r="Y58" s="615"/>
      <c r="Z58" s="575"/>
      <c r="AA58" s="616"/>
      <c r="AB58" s="575"/>
      <c r="AC58" s="613">
        <v>1</v>
      </c>
      <c r="AD58" s="613">
        <v>1</v>
      </c>
    </row>
    <row r="59" spans="1:30" s="256" customFormat="1" ht="12.95" customHeight="1">
      <c r="A59" s="225">
        <v>45</v>
      </c>
      <c r="B59" s="217"/>
      <c r="C59" s="218"/>
      <c r="D59" s="610" t="s">
        <v>178</v>
      </c>
      <c r="E59" s="221"/>
      <c r="F59" s="221"/>
      <c r="G59" s="221"/>
      <c r="H59" s="575" t="s">
        <v>1137</v>
      </c>
      <c r="I59" s="611" t="s">
        <v>1138</v>
      </c>
      <c r="J59" s="575"/>
      <c r="K59" s="611" t="s">
        <v>1139</v>
      </c>
      <c r="L59" s="575"/>
      <c r="M59" s="575"/>
      <c r="N59" s="575"/>
      <c r="O59" s="575"/>
      <c r="P59" s="612"/>
      <c r="Q59" s="575" t="s">
        <v>817</v>
      </c>
      <c r="R59" s="575"/>
      <c r="S59" s="619" t="s">
        <v>863</v>
      </c>
      <c r="T59" s="282"/>
      <c r="U59" s="575"/>
      <c r="V59" s="614"/>
      <c r="W59" s="614" t="s">
        <v>864</v>
      </c>
      <c r="X59" s="232"/>
      <c r="Y59" s="615"/>
      <c r="Z59" s="575"/>
      <c r="AA59" s="616"/>
      <c r="AB59" s="575"/>
      <c r="AC59" s="613">
        <v>1</v>
      </c>
      <c r="AD59" s="613">
        <v>1</v>
      </c>
    </row>
    <row r="60" spans="1:30" s="256" customFormat="1" ht="12.95" customHeight="1">
      <c r="A60" s="225">
        <v>46</v>
      </c>
      <c r="B60" s="217"/>
      <c r="C60" s="218"/>
      <c r="D60" s="241" t="s">
        <v>1140</v>
      </c>
      <c r="E60" s="241"/>
      <c r="F60" s="241"/>
      <c r="G60" s="241"/>
      <c r="H60" s="575" t="s">
        <v>1141</v>
      </c>
      <c r="I60" s="611">
        <v>33123452323</v>
      </c>
      <c r="J60" s="575"/>
      <c r="K60" s="611" t="s">
        <v>1142</v>
      </c>
      <c r="L60" s="575"/>
      <c r="M60" s="575"/>
      <c r="N60" s="575"/>
      <c r="O60" s="575"/>
      <c r="P60" s="612"/>
      <c r="Q60" s="575" t="s">
        <v>817</v>
      </c>
      <c r="R60" s="575"/>
      <c r="S60" s="575" t="s">
        <v>1079</v>
      </c>
      <c r="T60" s="613"/>
      <c r="U60" s="575"/>
      <c r="V60" s="614"/>
      <c r="W60" s="614" t="s">
        <v>864</v>
      </c>
      <c r="X60" s="232"/>
      <c r="Y60" s="615"/>
      <c r="Z60" s="575" t="s">
        <v>1143</v>
      </c>
      <c r="AA60" s="616"/>
      <c r="AB60" s="575"/>
      <c r="AC60" s="613"/>
      <c r="AD60" s="613">
        <v>1</v>
      </c>
    </row>
    <row r="61" spans="1:30" s="224" customFormat="1" ht="13.5" customHeight="1">
      <c r="A61" s="225">
        <v>47</v>
      </c>
      <c r="B61" s="217"/>
      <c r="C61" s="217" t="s">
        <v>1144</v>
      </c>
      <c r="D61" s="217"/>
      <c r="E61" s="217"/>
      <c r="F61" s="217"/>
      <c r="G61" s="217"/>
      <c r="H61" s="575"/>
      <c r="I61" s="611"/>
      <c r="J61" s="575" t="s">
        <v>1145</v>
      </c>
      <c r="K61" s="611" t="s">
        <v>1146</v>
      </c>
      <c r="L61" s="575"/>
      <c r="M61" s="575"/>
      <c r="N61" s="575"/>
      <c r="O61" s="575"/>
      <c r="P61" s="252"/>
      <c r="Q61" s="575" t="s">
        <v>817</v>
      </c>
      <c r="R61" s="575" t="s">
        <v>864</v>
      </c>
      <c r="S61" s="243" t="s">
        <v>1146</v>
      </c>
      <c r="T61" s="613"/>
      <c r="U61" s="575"/>
      <c r="V61" s="614"/>
      <c r="W61" s="614" t="s">
        <v>864</v>
      </c>
      <c r="X61" s="232"/>
      <c r="Y61" s="615"/>
      <c r="Z61" s="575"/>
      <c r="AA61" s="616"/>
      <c r="AB61" s="575"/>
      <c r="AC61" s="613">
        <v>1</v>
      </c>
      <c r="AD61" s="613"/>
    </row>
    <row r="62" spans="1:30" s="224" customFormat="1" ht="13.5" customHeight="1">
      <c r="A62" s="225">
        <v>48</v>
      </c>
      <c r="B62" s="217"/>
      <c r="C62" s="217"/>
      <c r="D62" s="241" t="s">
        <v>1147</v>
      </c>
      <c r="E62" s="241"/>
      <c r="F62" s="241"/>
      <c r="G62" s="241"/>
      <c r="H62" s="575" t="s">
        <v>1148</v>
      </c>
      <c r="I62" s="611" t="s">
        <v>930</v>
      </c>
      <c r="J62" s="575"/>
      <c r="K62" s="611" t="s">
        <v>1149</v>
      </c>
      <c r="L62" s="575"/>
      <c r="M62" s="575"/>
      <c r="N62" s="575"/>
      <c r="O62" s="575"/>
      <c r="P62" s="612"/>
      <c r="Q62" s="575" t="s">
        <v>820</v>
      </c>
      <c r="R62" s="575"/>
      <c r="S62" s="575" t="s">
        <v>879</v>
      </c>
      <c r="T62" s="613"/>
      <c r="U62" s="575"/>
      <c r="V62" s="614"/>
      <c r="W62" s="614" t="s">
        <v>864</v>
      </c>
      <c r="X62" s="232"/>
      <c r="Y62" s="615"/>
      <c r="Z62" s="575" t="s">
        <v>1150</v>
      </c>
      <c r="AA62" s="616"/>
      <c r="AB62" s="575"/>
      <c r="AC62" s="613"/>
      <c r="AD62" s="613">
        <v>1</v>
      </c>
    </row>
    <row r="63" spans="1:30" s="224" customFormat="1" ht="13.5" customHeight="1">
      <c r="A63" s="225">
        <v>49</v>
      </c>
      <c r="B63" s="217"/>
      <c r="C63" s="217"/>
      <c r="D63" s="217" t="s">
        <v>1151</v>
      </c>
      <c r="E63" s="217"/>
      <c r="F63" s="217"/>
      <c r="G63" s="217"/>
      <c r="H63" s="575" t="s">
        <v>1152</v>
      </c>
      <c r="I63" s="611"/>
      <c r="J63" s="575" t="s">
        <v>1153</v>
      </c>
      <c r="K63" s="611" t="s">
        <v>1153</v>
      </c>
      <c r="L63" s="575"/>
      <c r="M63" s="575"/>
      <c r="N63" s="575"/>
      <c r="O63" s="575"/>
      <c r="P63" s="252"/>
      <c r="Q63" s="575" t="s">
        <v>817</v>
      </c>
      <c r="R63" s="575" t="s">
        <v>864</v>
      </c>
      <c r="S63" s="243" t="s">
        <v>1153</v>
      </c>
      <c r="T63" s="613"/>
      <c r="U63" s="575"/>
      <c r="V63" s="614"/>
      <c r="W63" s="614" t="s">
        <v>864</v>
      </c>
      <c r="X63" s="232"/>
      <c r="Y63" s="615"/>
      <c r="Z63" s="575"/>
      <c r="AA63" s="616"/>
      <c r="AB63" s="575"/>
      <c r="AC63" s="613">
        <v>1</v>
      </c>
      <c r="AD63" s="613">
        <v>1</v>
      </c>
    </row>
    <row r="64" spans="1:30" s="224" customFormat="1" ht="13.5" customHeight="1">
      <c r="A64" s="225">
        <v>50</v>
      </c>
      <c r="B64" s="217"/>
      <c r="C64" s="217"/>
      <c r="D64" s="217"/>
      <c r="E64" s="217" t="s">
        <v>1154</v>
      </c>
      <c r="F64" s="217"/>
      <c r="G64" s="217"/>
      <c r="H64" s="575" t="s">
        <v>1155</v>
      </c>
      <c r="I64" s="611"/>
      <c r="J64" s="575" t="s">
        <v>1156</v>
      </c>
      <c r="K64" s="611" t="s">
        <v>1156</v>
      </c>
      <c r="L64" s="575"/>
      <c r="M64" s="575"/>
      <c r="N64" s="575"/>
      <c r="O64" s="575"/>
      <c r="P64" s="252"/>
      <c r="Q64" s="575" t="s">
        <v>820</v>
      </c>
      <c r="R64" s="575" t="s">
        <v>864</v>
      </c>
      <c r="S64" s="243" t="s">
        <v>1156</v>
      </c>
      <c r="T64" s="613"/>
      <c r="U64" s="575"/>
      <c r="V64" s="614"/>
      <c r="W64" s="614" t="s">
        <v>864</v>
      </c>
      <c r="X64" s="232"/>
      <c r="Y64" s="615"/>
      <c r="Z64" s="575"/>
      <c r="AA64" s="616"/>
      <c r="AB64" s="575"/>
      <c r="AC64" s="613">
        <v>1</v>
      </c>
      <c r="AD64" s="613">
        <v>1</v>
      </c>
    </row>
    <row r="65" spans="1:1014" s="224" customFormat="1" ht="13.5" customHeight="1">
      <c r="A65" s="225">
        <v>51</v>
      </c>
      <c r="B65" s="217"/>
      <c r="C65" s="217"/>
      <c r="D65" s="217"/>
      <c r="E65" s="217"/>
      <c r="F65" s="217" t="s">
        <v>1157</v>
      </c>
      <c r="G65" s="217"/>
      <c r="H65" s="575" t="s">
        <v>1158</v>
      </c>
      <c r="I65" s="611" t="s">
        <v>1159</v>
      </c>
      <c r="J65" s="575" t="s">
        <v>1160</v>
      </c>
      <c r="K65" s="611" t="s">
        <v>1160</v>
      </c>
      <c r="L65" s="575"/>
      <c r="M65" s="575"/>
      <c r="N65" s="575"/>
      <c r="O65" s="575"/>
      <c r="P65" s="252"/>
      <c r="Q65" s="575" t="s">
        <v>820</v>
      </c>
      <c r="R65" s="575"/>
      <c r="S65" s="575" t="s">
        <v>1079</v>
      </c>
      <c r="T65" s="613"/>
      <c r="U65" s="575"/>
      <c r="V65" s="614"/>
      <c r="W65" s="614" t="s">
        <v>864</v>
      </c>
      <c r="X65" s="232"/>
      <c r="Y65" s="575" t="s">
        <v>1161</v>
      </c>
      <c r="Z65" s="575"/>
      <c r="AA65" s="245" t="s">
        <v>1162</v>
      </c>
      <c r="AB65" s="575"/>
      <c r="AC65" s="613">
        <v>1</v>
      </c>
      <c r="AD65" s="613">
        <v>1</v>
      </c>
    </row>
    <row r="66" spans="1:1014" s="256" customFormat="1" ht="13.5" customHeight="1">
      <c r="A66" s="225">
        <v>52</v>
      </c>
      <c r="B66" s="217"/>
      <c r="C66" s="217"/>
      <c r="D66" s="217"/>
      <c r="E66" s="217"/>
      <c r="F66" s="217" t="s">
        <v>1163</v>
      </c>
      <c r="G66" s="217"/>
      <c r="H66" s="575" t="s">
        <v>1164</v>
      </c>
      <c r="I66" s="611" t="s">
        <v>1165</v>
      </c>
      <c r="J66" s="575" t="s">
        <v>1166</v>
      </c>
      <c r="K66" s="611" t="s">
        <v>1166</v>
      </c>
      <c r="L66" s="575"/>
      <c r="M66" s="575"/>
      <c r="N66" s="575"/>
      <c r="O66" s="575"/>
      <c r="P66" s="252"/>
      <c r="Q66" s="575" t="s">
        <v>820</v>
      </c>
      <c r="R66" s="575"/>
      <c r="S66" s="575" t="s">
        <v>1079</v>
      </c>
      <c r="T66" s="613"/>
      <c r="U66" s="575"/>
      <c r="V66" s="614"/>
      <c r="W66" s="614" t="s">
        <v>864</v>
      </c>
      <c r="X66" s="232"/>
      <c r="Y66" s="575" t="s">
        <v>1161</v>
      </c>
      <c r="Z66" s="575"/>
      <c r="AA66" s="245" t="s">
        <v>1162</v>
      </c>
      <c r="AB66" s="575"/>
      <c r="AC66" s="613">
        <v>1</v>
      </c>
      <c r="AD66" s="613">
        <v>1</v>
      </c>
    </row>
    <row r="67" spans="1:1014" s="244" customFormat="1" ht="13.5" customHeight="1">
      <c r="A67" s="225">
        <v>53</v>
      </c>
      <c r="B67" s="217"/>
      <c r="C67" s="222"/>
      <c r="D67" s="222"/>
      <c r="E67" s="222"/>
      <c r="F67" s="222" t="s">
        <v>1167</v>
      </c>
      <c r="G67" s="221"/>
      <c r="H67" s="575" t="s">
        <v>1168</v>
      </c>
      <c r="I67" s="611">
        <v>120</v>
      </c>
      <c r="J67" s="575"/>
      <c r="K67" s="575" t="s">
        <v>1169</v>
      </c>
      <c r="L67" s="575"/>
      <c r="M67" s="575"/>
      <c r="N67" s="575"/>
      <c r="O67" s="575"/>
      <c r="P67" s="612"/>
      <c r="Q67" s="575" t="s">
        <v>817</v>
      </c>
      <c r="R67" s="575"/>
      <c r="S67" s="575" t="s">
        <v>1079</v>
      </c>
      <c r="T67" s="613"/>
      <c r="U67" s="575"/>
      <c r="V67" s="614"/>
      <c r="W67" s="614" t="s">
        <v>864</v>
      </c>
      <c r="X67" s="232"/>
      <c r="Y67" s="575" t="s">
        <v>1170</v>
      </c>
      <c r="Z67" s="575"/>
      <c r="AA67" s="616"/>
      <c r="AB67" s="575"/>
      <c r="AC67" s="613">
        <v>1</v>
      </c>
      <c r="AD67" s="613">
        <v>1</v>
      </c>
    </row>
    <row r="68" spans="1:1014" s="256" customFormat="1" ht="13.5" customHeight="1">
      <c r="A68" s="225">
        <v>54</v>
      </c>
      <c r="B68" s="217"/>
      <c r="C68" s="217"/>
      <c r="D68" s="241"/>
      <c r="E68" s="241"/>
      <c r="F68" s="241" t="s">
        <v>1171</v>
      </c>
      <c r="G68" s="221"/>
      <c r="H68" s="575" t="s">
        <v>1172</v>
      </c>
      <c r="I68" s="611">
        <v>96</v>
      </c>
      <c r="J68" s="575"/>
      <c r="K68" s="575" t="s">
        <v>1173</v>
      </c>
      <c r="L68" s="575"/>
      <c r="M68" s="575"/>
      <c r="N68" s="575"/>
      <c r="O68" s="575"/>
      <c r="P68" s="612"/>
      <c r="Q68" s="575" t="s">
        <v>817</v>
      </c>
      <c r="R68" s="575"/>
      <c r="S68" s="575" t="s">
        <v>1079</v>
      </c>
      <c r="T68" s="613"/>
      <c r="U68" s="575"/>
      <c r="V68" s="614"/>
      <c r="W68" s="614" t="s">
        <v>864</v>
      </c>
      <c r="X68" s="232"/>
      <c r="Y68" s="575" t="s">
        <v>1174</v>
      </c>
      <c r="Z68" s="575"/>
      <c r="AA68" s="616"/>
      <c r="AB68" s="575"/>
      <c r="AC68" s="613">
        <v>1</v>
      </c>
      <c r="AD68" s="613">
        <v>1</v>
      </c>
    </row>
    <row r="69" spans="1:1014" s="256" customFormat="1" ht="13.5" customHeight="1">
      <c r="A69" s="225">
        <v>55</v>
      </c>
      <c r="B69" s="217"/>
      <c r="C69" s="217"/>
      <c r="D69" s="241"/>
      <c r="E69" s="241"/>
      <c r="F69" s="241" t="s">
        <v>1175</v>
      </c>
      <c r="G69" s="221"/>
      <c r="H69" s="575" t="s">
        <v>1176</v>
      </c>
      <c r="I69" s="611">
        <v>34</v>
      </c>
      <c r="J69" s="575"/>
      <c r="K69" s="575" t="s">
        <v>1177</v>
      </c>
      <c r="L69" s="575"/>
      <c r="M69" s="575"/>
      <c r="N69" s="575"/>
      <c r="O69" s="575"/>
      <c r="P69" s="612"/>
      <c r="Q69" s="575" t="s">
        <v>817</v>
      </c>
      <c r="R69" s="575"/>
      <c r="S69" s="575" t="s">
        <v>1079</v>
      </c>
      <c r="T69" s="613"/>
      <c r="U69" s="575"/>
      <c r="V69" s="614"/>
      <c r="W69" s="614" t="s">
        <v>864</v>
      </c>
      <c r="X69" s="232"/>
      <c r="Y69" s="575" t="s">
        <v>1178</v>
      </c>
      <c r="Z69" s="575"/>
      <c r="AA69" s="616"/>
      <c r="AB69" s="575"/>
      <c r="AC69" s="613">
        <v>1</v>
      </c>
      <c r="AD69" s="613">
        <v>1</v>
      </c>
    </row>
    <row r="70" spans="1:1014" s="244" customFormat="1" ht="13.5" customHeight="1">
      <c r="A70" s="225">
        <v>56</v>
      </c>
      <c r="B70" s="217"/>
      <c r="C70" s="222"/>
      <c r="D70" s="241"/>
      <c r="E70" s="241"/>
      <c r="F70" s="241" t="s">
        <v>1179</v>
      </c>
      <c r="G70" s="241"/>
      <c r="H70" s="575" t="s">
        <v>1180</v>
      </c>
      <c r="I70" s="611" t="s">
        <v>1181</v>
      </c>
      <c r="J70" s="575"/>
      <c r="K70" s="611" t="s">
        <v>1182</v>
      </c>
      <c r="L70" s="575"/>
      <c r="M70" s="575"/>
      <c r="N70" s="575"/>
      <c r="O70" s="575"/>
      <c r="P70" s="612"/>
      <c r="Q70" s="575" t="s">
        <v>820</v>
      </c>
      <c r="R70" s="575"/>
      <c r="S70" s="575" t="s">
        <v>863</v>
      </c>
      <c r="T70" s="613"/>
      <c r="U70" s="575" t="s">
        <v>1183</v>
      </c>
      <c r="V70" s="614"/>
      <c r="W70" s="614" t="s">
        <v>864</v>
      </c>
      <c r="X70" s="232"/>
      <c r="Y70" s="615"/>
      <c r="Z70" s="575"/>
      <c r="AA70" s="616"/>
      <c r="AB70" s="575"/>
      <c r="AC70" s="613"/>
      <c r="AD70" s="613">
        <v>1</v>
      </c>
    </row>
    <row r="71" spans="1:1014" s="256" customFormat="1" ht="13.5" customHeight="1">
      <c r="A71" s="225">
        <v>57</v>
      </c>
      <c r="B71" s="217"/>
      <c r="C71" s="217"/>
      <c r="D71" s="217"/>
      <c r="E71" s="217" t="s">
        <v>1184</v>
      </c>
      <c r="F71" s="217"/>
      <c r="G71" s="217"/>
      <c r="H71" s="575" t="s">
        <v>1185</v>
      </c>
      <c r="I71" s="611" t="s">
        <v>1186</v>
      </c>
      <c r="J71" s="575" t="s">
        <v>1187</v>
      </c>
      <c r="K71" s="611" t="s">
        <v>1188</v>
      </c>
      <c r="L71" s="575"/>
      <c r="M71" s="575"/>
      <c r="N71" s="575"/>
      <c r="O71" s="575"/>
      <c r="P71" s="612">
        <v>1</v>
      </c>
      <c r="Q71" s="575" t="s">
        <v>817</v>
      </c>
      <c r="R71" s="575"/>
      <c r="S71" s="575" t="s">
        <v>863</v>
      </c>
      <c r="T71" s="613"/>
      <c r="U71" s="575"/>
      <c r="V71" s="614"/>
      <c r="W71" s="614" t="s">
        <v>864</v>
      </c>
      <c r="X71" s="232"/>
      <c r="Y71" s="615"/>
      <c r="Z71" s="575"/>
      <c r="AA71" s="616"/>
      <c r="AB71" s="575"/>
      <c r="AC71" s="613">
        <v>1</v>
      </c>
      <c r="AD71" s="613">
        <v>1</v>
      </c>
    </row>
    <row r="72" spans="1:1014" s="256" customFormat="1" ht="12.95" customHeight="1">
      <c r="A72" s="225">
        <v>58</v>
      </c>
      <c r="B72" s="217"/>
      <c r="C72" s="217"/>
      <c r="D72" s="217" t="s">
        <v>1189</v>
      </c>
      <c r="E72" s="217"/>
      <c r="F72" s="217"/>
      <c r="G72" s="217"/>
      <c r="H72" s="575" t="s">
        <v>1190</v>
      </c>
      <c r="I72" s="611"/>
      <c r="J72" s="575" t="s">
        <v>1191</v>
      </c>
      <c r="K72" s="611" t="s">
        <v>1191</v>
      </c>
      <c r="L72" s="575"/>
      <c r="M72" s="575"/>
      <c r="N72" s="575"/>
      <c r="O72" s="575"/>
      <c r="P72" s="252"/>
      <c r="Q72" s="575" t="s">
        <v>817</v>
      </c>
      <c r="R72" s="575"/>
      <c r="S72" s="575" t="s">
        <v>863</v>
      </c>
      <c r="T72" s="613"/>
      <c r="U72" s="575"/>
      <c r="V72" s="614"/>
      <c r="W72" s="614" t="s">
        <v>864</v>
      </c>
      <c r="X72" s="232"/>
      <c r="Y72" s="615"/>
      <c r="Z72" s="575"/>
      <c r="AA72" s="616"/>
      <c r="AB72" s="575"/>
      <c r="AC72" s="613">
        <v>1</v>
      </c>
      <c r="AD72" s="613"/>
    </row>
    <row r="73" spans="1:1014" s="224" customFormat="1" ht="13.5" customHeight="1">
      <c r="A73" s="225">
        <v>59</v>
      </c>
      <c r="B73" s="217"/>
      <c r="C73" s="217" t="s">
        <v>1192</v>
      </c>
      <c r="D73" s="217"/>
      <c r="E73" s="217"/>
      <c r="F73" s="217"/>
      <c r="G73" s="217"/>
      <c r="H73" s="575" t="s">
        <v>1193</v>
      </c>
      <c r="I73" s="611"/>
      <c r="J73" s="575" t="s">
        <v>942</v>
      </c>
      <c r="K73" s="611" t="s">
        <v>1194</v>
      </c>
      <c r="L73" s="575"/>
      <c r="M73" s="575"/>
      <c r="N73" s="575"/>
      <c r="O73" s="575"/>
      <c r="P73" s="252"/>
      <c r="Q73" s="575" t="s">
        <v>823</v>
      </c>
      <c r="R73" s="575" t="s">
        <v>864</v>
      </c>
      <c r="S73" s="243" t="s">
        <v>1194</v>
      </c>
      <c r="T73" s="613"/>
      <c r="U73" s="575"/>
      <c r="V73" s="614"/>
      <c r="W73" s="614" t="s">
        <v>864</v>
      </c>
      <c r="X73" s="232"/>
      <c r="Y73" s="615"/>
      <c r="Z73" s="575"/>
      <c r="AA73" s="616"/>
      <c r="AB73" s="575"/>
      <c r="AC73" s="613">
        <v>1</v>
      </c>
      <c r="AD73" s="613">
        <v>1</v>
      </c>
    </row>
    <row r="74" spans="1:1014" s="224" customFormat="1" ht="13.5" customHeight="1">
      <c r="A74" s="225">
        <v>60</v>
      </c>
      <c r="B74" s="217"/>
      <c r="C74" s="217"/>
      <c r="D74" s="217" t="s">
        <v>1195</v>
      </c>
      <c r="E74" s="217"/>
      <c r="F74" s="217"/>
      <c r="G74" s="217"/>
      <c r="H74" s="575" t="s">
        <v>1196</v>
      </c>
      <c r="I74" s="611" t="s">
        <v>1197</v>
      </c>
      <c r="J74" s="575" t="s">
        <v>908</v>
      </c>
      <c r="K74" s="611" t="s">
        <v>939</v>
      </c>
      <c r="L74" s="575"/>
      <c r="M74" s="575"/>
      <c r="N74" s="575"/>
      <c r="O74" s="575"/>
      <c r="P74" s="252"/>
      <c r="Q74" s="575" t="s">
        <v>820</v>
      </c>
      <c r="R74" s="575"/>
      <c r="S74" s="575" t="s">
        <v>863</v>
      </c>
      <c r="T74" s="613"/>
      <c r="U74" s="575" t="s">
        <v>1198</v>
      </c>
      <c r="V74" s="614"/>
      <c r="W74" s="614" t="s">
        <v>864</v>
      </c>
      <c r="X74" s="232"/>
      <c r="Y74" s="615"/>
      <c r="Z74" s="575"/>
      <c r="AA74" s="616"/>
      <c r="AB74" s="575"/>
      <c r="AC74" s="613">
        <v>1</v>
      </c>
      <c r="AD74" s="613">
        <v>1</v>
      </c>
    </row>
    <row r="75" spans="1:1014" s="224" customFormat="1" ht="13.5" customHeight="1">
      <c r="A75" s="225">
        <v>61</v>
      </c>
      <c r="B75" s="217"/>
      <c r="C75" s="217"/>
      <c r="D75" s="217" t="s">
        <v>1199</v>
      </c>
      <c r="E75" s="217"/>
      <c r="F75" s="217"/>
      <c r="G75" s="217"/>
      <c r="H75" s="575" t="s">
        <v>1200</v>
      </c>
      <c r="I75" s="611" t="s">
        <v>1201</v>
      </c>
      <c r="J75" s="575" t="s">
        <v>958</v>
      </c>
      <c r="K75" s="611" t="s">
        <v>958</v>
      </c>
      <c r="L75" s="575"/>
      <c r="M75" s="575"/>
      <c r="N75" s="575"/>
      <c r="O75" s="575"/>
      <c r="P75" s="252"/>
      <c r="Q75" s="575" t="s">
        <v>820</v>
      </c>
      <c r="R75" s="575"/>
      <c r="S75" s="575" t="s">
        <v>863</v>
      </c>
      <c r="T75" s="613"/>
      <c r="U75" s="575" t="s">
        <v>1202</v>
      </c>
      <c r="V75" s="614"/>
      <c r="W75" s="614" t="s">
        <v>864</v>
      </c>
      <c r="X75" s="232"/>
      <c r="Y75" s="615"/>
      <c r="Z75" s="575"/>
      <c r="AA75" s="616"/>
      <c r="AB75" s="575"/>
      <c r="AC75" s="613">
        <v>1</v>
      </c>
      <c r="AD75" s="613">
        <v>1</v>
      </c>
    </row>
    <row r="76" spans="1:1014" s="231" customFormat="1" ht="12.95" customHeight="1">
      <c r="A76" s="225">
        <v>62</v>
      </c>
      <c r="B76" s="217"/>
      <c r="C76" s="217"/>
      <c r="D76" s="217" t="s">
        <v>1064</v>
      </c>
      <c r="E76" s="217"/>
      <c r="F76" s="217"/>
      <c r="G76" s="217"/>
      <c r="H76" s="575" t="s">
        <v>1203</v>
      </c>
      <c r="I76" s="611" t="s">
        <v>1204</v>
      </c>
      <c r="J76" s="575" t="s">
        <v>1205</v>
      </c>
      <c r="K76" s="611" t="s">
        <v>1206</v>
      </c>
      <c r="L76" s="575"/>
      <c r="M76" s="575"/>
      <c r="N76" s="575"/>
      <c r="O76" s="575"/>
      <c r="P76" s="252"/>
      <c r="Q76" s="575" t="s">
        <v>820</v>
      </c>
      <c r="R76" s="575"/>
      <c r="S76" s="619" t="s">
        <v>863</v>
      </c>
      <c r="T76" s="282"/>
      <c r="U76" s="575"/>
      <c r="V76" s="614"/>
      <c r="W76" s="614" t="s">
        <v>864</v>
      </c>
      <c r="X76" s="232"/>
      <c r="Y76" s="615"/>
      <c r="Z76" s="575"/>
      <c r="AA76" s="616"/>
      <c r="AB76" s="575"/>
      <c r="AC76" s="613">
        <v>1</v>
      </c>
      <c r="AD76" s="613">
        <v>1</v>
      </c>
      <c r="AE76" s="620"/>
      <c r="AF76" s="620"/>
      <c r="AG76" s="620"/>
      <c r="AH76" s="620"/>
      <c r="AI76" s="620"/>
      <c r="AJ76" s="620"/>
      <c r="AK76" s="620"/>
      <c r="AL76" s="620"/>
      <c r="AM76" s="620"/>
      <c r="AN76" s="620"/>
      <c r="AO76" s="620"/>
      <c r="AP76" s="620"/>
      <c r="AQ76" s="620"/>
      <c r="AR76" s="620"/>
      <c r="AS76" s="620"/>
      <c r="AT76" s="620"/>
      <c r="AU76" s="620"/>
      <c r="AV76" s="620"/>
      <c r="AW76" s="620"/>
      <c r="AX76" s="620"/>
      <c r="AY76" s="620"/>
      <c r="AZ76" s="620"/>
      <c r="BA76" s="620"/>
      <c r="BB76" s="620"/>
      <c r="BC76" s="620"/>
      <c r="BD76" s="620"/>
      <c r="BE76" s="620"/>
      <c r="BF76" s="620"/>
      <c r="BG76" s="620"/>
      <c r="BH76" s="620"/>
      <c r="BI76" s="620"/>
      <c r="BJ76" s="620"/>
      <c r="BK76" s="620"/>
      <c r="BL76" s="620"/>
      <c r="BM76" s="620"/>
      <c r="BN76" s="620"/>
      <c r="BO76" s="620"/>
      <c r="BP76" s="620"/>
      <c r="BQ76" s="620"/>
      <c r="BR76" s="620"/>
      <c r="BS76" s="620"/>
      <c r="BT76" s="620"/>
      <c r="BU76" s="620"/>
      <c r="BV76" s="620"/>
      <c r="BW76" s="620"/>
      <c r="BX76" s="620"/>
      <c r="BY76" s="620"/>
      <c r="BZ76" s="620"/>
      <c r="CA76" s="620"/>
      <c r="CB76" s="620"/>
      <c r="CC76" s="620"/>
      <c r="CD76" s="620"/>
      <c r="CE76" s="620"/>
      <c r="CF76" s="620"/>
      <c r="CG76" s="620"/>
      <c r="CH76" s="620"/>
      <c r="CI76" s="620"/>
      <c r="CJ76" s="620"/>
      <c r="CK76" s="620"/>
      <c r="CL76" s="620"/>
      <c r="CM76" s="620"/>
      <c r="CN76" s="620"/>
      <c r="CO76" s="620"/>
      <c r="CP76" s="620"/>
      <c r="CQ76" s="620"/>
      <c r="CR76" s="620"/>
      <c r="CS76" s="620"/>
      <c r="CT76" s="620"/>
      <c r="CU76" s="620"/>
      <c r="CV76" s="620"/>
      <c r="CW76" s="620"/>
      <c r="CX76" s="620"/>
      <c r="CY76" s="620"/>
      <c r="CZ76" s="620"/>
      <c r="DA76" s="620"/>
      <c r="DB76" s="620"/>
      <c r="DC76" s="620"/>
      <c r="DD76" s="620"/>
      <c r="DE76" s="620"/>
      <c r="DF76" s="620"/>
      <c r="DG76" s="620"/>
      <c r="DH76" s="620"/>
      <c r="DI76" s="620"/>
      <c r="DJ76" s="620"/>
      <c r="DK76" s="620"/>
      <c r="DL76" s="620"/>
      <c r="DM76" s="620"/>
      <c r="DN76" s="620"/>
      <c r="DO76" s="620"/>
      <c r="DP76" s="620"/>
      <c r="DQ76" s="620"/>
      <c r="DR76" s="620"/>
      <c r="DS76" s="620"/>
      <c r="DT76" s="620"/>
      <c r="DU76" s="620"/>
      <c r="DV76" s="620"/>
      <c r="DW76" s="620"/>
      <c r="DX76" s="620"/>
      <c r="DY76" s="620"/>
      <c r="DZ76" s="620"/>
      <c r="EA76" s="620"/>
      <c r="EB76" s="620"/>
      <c r="EC76" s="620"/>
      <c r="ED76" s="620"/>
      <c r="EE76" s="620"/>
      <c r="EF76" s="620"/>
      <c r="EG76" s="620"/>
      <c r="EH76" s="620"/>
      <c r="EI76" s="620"/>
      <c r="EJ76" s="620"/>
      <c r="EK76" s="620"/>
      <c r="EL76" s="620"/>
      <c r="EM76" s="620"/>
      <c r="EN76" s="620"/>
      <c r="EO76" s="620"/>
      <c r="EP76" s="620"/>
      <c r="EQ76" s="620"/>
      <c r="ER76" s="620"/>
      <c r="ES76" s="620"/>
      <c r="ET76" s="620"/>
      <c r="EU76" s="620"/>
      <c r="EV76" s="620"/>
      <c r="EW76" s="620"/>
      <c r="EX76" s="620"/>
      <c r="EY76" s="620"/>
      <c r="EZ76" s="620"/>
      <c r="FA76" s="620"/>
      <c r="FB76" s="620"/>
      <c r="FC76" s="620"/>
      <c r="FD76" s="620"/>
      <c r="FE76" s="620"/>
      <c r="FF76" s="620"/>
      <c r="FG76" s="620"/>
      <c r="FH76" s="620"/>
      <c r="FI76" s="620"/>
      <c r="FJ76" s="620"/>
      <c r="FK76" s="620"/>
      <c r="FL76" s="620"/>
      <c r="FM76" s="620"/>
      <c r="FN76" s="620"/>
      <c r="FO76" s="620"/>
      <c r="FP76" s="620"/>
      <c r="FQ76" s="620"/>
      <c r="FR76" s="620"/>
      <c r="FS76" s="620"/>
      <c r="FT76" s="620"/>
      <c r="FU76" s="620"/>
      <c r="FV76" s="620"/>
      <c r="FW76" s="620"/>
      <c r="FX76" s="620"/>
      <c r="FY76" s="620"/>
      <c r="FZ76" s="620"/>
      <c r="GA76" s="620"/>
      <c r="GB76" s="620"/>
      <c r="GC76" s="620"/>
      <c r="GD76" s="620"/>
      <c r="GE76" s="620"/>
      <c r="GF76" s="620"/>
      <c r="GG76" s="620"/>
      <c r="GH76" s="620"/>
      <c r="GI76" s="620"/>
      <c r="GJ76" s="620"/>
      <c r="GK76" s="620"/>
      <c r="GL76" s="620"/>
      <c r="GM76" s="620"/>
      <c r="GN76" s="620"/>
      <c r="GO76" s="620"/>
      <c r="GP76" s="620"/>
      <c r="GQ76" s="620"/>
      <c r="GR76" s="620"/>
      <c r="GS76" s="620"/>
      <c r="GT76" s="620"/>
      <c r="GU76" s="620"/>
      <c r="GV76" s="620"/>
      <c r="GW76" s="620"/>
      <c r="GX76" s="620"/>
      <c r="GY76" s="620"/>
      <c r="GZ76" s="620"/>
      <c r="HA76" s="620"/>
      <c r="HB76" s="620"/>
      <c r="HC76" s="620"/>
      <c r="HD76" s="620"/>
      <c r="HE76" s="620"/>
      <c r="HF76" s="620"/>
      <c r="HG76" s="620"/>
      <c r="HH76" s="620"/>
      <c r="HI76" s="620"/>
      <c r="HJ76" s="620"/>
      <c r="HK76" s="620"/>
      <c r="HL76" s="620"/>
      <c r="HM76" s="620"/>
      <c r="HN76" s="620"/>
      <c r="HO76" s="620"/>
      <c r="HP76" s="620"/>
      <c r="HQ76" s="620"/>
      <c r="HR76" s="620"/>
      <c r="HS76" s="620"/>
      <c r="HT76" s="620"/>
      <c r="HU76" s="620"/>
      <c r="HV76" s="620"/>
      <c r="HW76" s="620"/>
      <c r="HX76" s="620"/>
      <c r="HY76" s="620"/>
      <c r="HZ76" s="620"/>
      <c r="IA76" s="620"/>
      <c r="IB76" s="620"/>
      <c r="IC76" s="620"/>
      <c r="ID76" s="620"/>
      <c r="IE76" s="620"/>
      <c r="IF76" s="620"/>
      <c r="IG76" s="620"/>
      <c r="IH76" s="620"/>
      <c r="II76" s="620"/>
      <c r="IJ76" s="620"/>
      <c r="IK76" s="620"/>
      <c r="IL76" s="620"/>
      <c r="IM76" s="620"/>
      <c r="IN76" s="620"/>
      <c r="IO76" s="620"/>
      <c r="IP76" s="620"/>
      <c r="IQ76" s="620"/>
      <c r="IR76" s="620"/>
      <c r="IS76" s="620"/>
      <c r="IT76" s="620"/>
      <c r="IU76" s="620"/>
      <c r="IV76" s="620"/>
      <c r="IW76" s="620"/>
      <c r="IX76" s="620"/>
      <c r="IY76" s="620"/>
      <c r="IZ76" s="620"/>
      <c r="JA76" s="620"/>
      <c r="JB76" s="620"/>
      <c r="JC76" s="620"/>
      <c r="JD76" s="620"/>
      <c r="JE76" s="620"/>
      <c r="JF76" s="620"/>
      <c r="JG76" s="620"/>
      <c r="JH76" s="620"/>
      <c r="JI76" s="620"/>
      <c r="JJ76" s="620"/>
      <c r="JK76" s="620"/>
      <c r="JL76" s="620"/>
      <c r="JM76" s="620"/>
      <c r="JN76" s="620"/>
      <c r="JO76" s="620"/>
      <c r="JP76" s="620"/>
      <c r="JQ76" s="620"/>
      <c r="JR76" s="620"/>
      <c r="JS76" s="620"/>
      <c r="JT76" s="620"/>
      <c r="JU76" s="620"/>
      <c r="JV76" s="620"/>
      <c r="JW76" s="620"/>
      <c r="JX76" s="620"/>
      <c r="JY76" s="620"/>
      <c r="JZ76" s="620"/>
      <c r="KA76" s="620"/>
      <c r="KB76" s="620"/>
      <c r="KC76" s="620"/>
      <c r="KD76" s="620"/>
      <c r="KE76" s="620"/>
      <c r="KF76" s="620"/>
      <c r="KG76" s="620"/>
      <c r="KH76" s="620"/>
      <c r="KI76" s="620"/>
      <c r="KJ76" s="620"/>
      <c r="KK76" s="620"/>
      <c r="KL76" s="620"/>
      <c r="KM76" s="620"/>
      <c r="KN76" s="620"/>
      <c r="KO76" s="620"/>
      <c r="KP76" s="620"/>
      <c r="KQ76" s="620"/>
      <c r="KR76" s="620"/>
      <c r="KS76" s="620"/>
      <c r="KT76" s="620"/>
      <c r="KU76" s="620"/>
      <c r="KV76" s="620"/>
      <c r="KW76" s="620"/>
      <c r="KX76" s="620"/>
      <c r="KY76" s="620"/>
      <c r="KZ76" s="620"/>
      <c r="LA76" s="620"/>
      <c r="LB76" s="620"/>
      <c r="LC76" s="620"/>
      <c r="LD76" s="620"/>
      <c r="LE76" s="620"/>
      <c r="LF76" s="620"/>
      <c r="LG76" s="620"/>
      <c r="LH76" s="620"/>
      <c r="LI76" s="620"/>
      <c r="LJ76" s="620"/>
      <c r="LK76" s="620"/>
      <c r="LL76" s="620"/>
      <c r="LM76" s="620"/>
      <c r="LN76" s="620"/>
      <c r="LO76" s="620"/>
      <c r="LP76" s="620"/>
      <c r="LQ76" s="620"/>
      <c r="LR76" s="620"/>
      <c r="LS76" s="620"/>
      <c r="LT76" s="620"/>
      <c r="LU76" s="620"/>
      <c r="LV76" s="620"/>
      <c r="LW76" s="620"/>
      <c r="LX76" s="620"/>
      <c r="LY76" s="620"/>
      <c r="LZ76" s="620"/>
      <c r="MA76" s="620"/>
      <c r="MB76" s="620"/>
      <c r="MC76" s="620"/>
      <c r="MD76" s="620"/>
      <c r="ME76" s="620"/>
      <c r="MF76" s="620"/>
      <c r="MG76" s="620"/>
      <c r="MH76" s="620"/>
      <c r="MI76" s="620"/>
      <c r="MJ76" s="620"/>
      <c r="MK76" s="620"/>
      <c r="ML76" s="620"/>
      <c r="MM76" s="620"/>
      <c r="MN76" s="620"/>
      <c r="MO76" s="620"/>
      <c r="MP76" s="620"/>
      <c r="MQ76" s="620"/>
      <c r="MR76" s="620"/>
      <c r="MS76" s="620"/>
      <c r="MT76" s="620"/>
      <c r="MU76" s="620"/>
      <c r="MV76" s="620"/>
      <c r="MW76" s="620"/>
      <c r="MX76" s="620"/>
      <c r="MY76" s="620"/>
      <c r="MZ76" s="620"/>
      <c r="NA76" s="620"/>
      <c r="NB76" s="620"/>
      <c r="NC76" s="620"/>
      <c r="ND76" s="620"/>
      <c r="NE76" s="620"/>
      <c r="NF76" s="620"/>
      <c r="NG76" s="620"/>
      <c r="NH76" s="620"/>
      <c r="NI76" s="620"/>
      <c r="NJ76" s="620"/>
      <c r="NK76" s="620"/>
      <c r="NL76" s="620"/>
      <c r="NM76" s="620"/>
      <c r="NN76" s="620"/>
      <c r="NO76" s="620"/>
      <c r="NP76" s="620"/>
      <c r="NQ76" s="620"/>
      <c r="NR76" s="620"/>
      <c r="NS76" s="620"/>
      <c r="NT76" s="620"/>
      <c r="NU76" s="620"/>
      <c r="NV76" s="620"/>
      <c r="NW76" s="620"/>
      <c r="NX76" s="620"/>
      <c r="NY76" s="620"/>
      <c r="NZ76" s="620"/>
      <c r="OA76" s="620"/>
      <c r="OB76" s="620"/>
      <c r="OC76" s="620"/>
      <c r="OD76" s="620"/>
      <c r="OE76" s="620"/>
      <c r="OF76" s="620"/>
      <c r="OG76" s="620"/>
      <c r="OH76" s="620"/>
      <c r="OI76" s="620"/>
      <c r="OJ76" s="620"/>
      <c r="OK76" s="620"/>
      <c r="OL76" s="620"/>
      <c r="OM76" s="620"/>
      <c r="ON76" s="620"/>
      <c r="OO76" s="620"/>
      <c r="OP76" s="620"/>
      <c r="OQ76" s="620"/>
      <c r="OR76" s="620"/>
      <c r="OS76" s="620"/>
      <c r="OT76" s="620"/>
      <c r="OU76" s="620"/>
      <c r="OV76" s="620"/>
      <c r="OW76" s="620"/>
      <c r="OX76" s="620"/>
      <c r="OY76" s="620"/>
      <c r="OZ76" s="620"/>
      <c r="PA76" s="620"/>
      <c r="PB76" s="620"/>
      <c r="PC76" s="620"/>
      <c r="PD76" s="620"/>
      <c r="PE76" s="620"/>
      <c r="PF76" s="620"/>
      <c r="PG76" s="620"/>
      <c r="PH76" s="620"/>
      <c r="PI76" s="620"/>
      <c r="PJ76" s="620"/>
      <c r="PK76" s="620"/>
      <c r="PL76" s="620"/>
      <c r="PM76" s="620"/>
      <c r="PN76" s="620"/>
      <c r="PO76" s="620"/>
      <c r="PP76" s="620"/>
      <c r="PQ76" s="620"/>
      <c r="PR76" s="620"/>
      <c r="PS76" s="620"/>
      <c r="PT76" s="620"/>
      <c r="PU76" s="620"/>
      <c r="PV76" s="620"/>
      <c r="PW76" s="620"/>
      <c r="PX76" s="620"/>
      <c r="PY76" s="620"/>
      <c r="PZ76" s="620"/>
      <c r="QA76" s="620"/>
      <c r="QB76" s="620"/>
      <c r="QC76" s="620"/>
      <c r="QD76" s="620"/>
      <c r="QE76" s="620"/>
      <c r="QF76" s="620"/>
      <c r="QG76" s="620"/>
      <c r="QH76" s="620"/>
      <c r="QI76" s="620"/>
      <c r="QJ76" s="620"/>
      <c r="QK76" s="620"/>
      <c r="QL76" s="620"/>
      <c r="QM76" s="620"/>
      <c r="QN76" s="620"/>
      <c r="QO76" s="620"/>
      <c r="QP76" s="620"/>
      <c r="QQ76" s="620"/>
      <c r="QR76" s="620"/>
      <c r="QS76" s="620"/>
      <c r="QT76" s="620"/>
      <c r="QU76" s="620"/>
      <c r="QV76" s="620"/>
      <c r="QW76" s="620"/>
      <c r="QX76" s="620"/>
      <c r="QY76" s="620"/>
      <c r="QZ76" s="620"/>
      <c r="RA76" s="620"/>
      <c r="RB76" s="620"/>
      <c r="RC76" s="620"/>
      <c r="RD76" s="620"/>
      <c r="RE76" s="620"/>
      <c r="RF76" s="620"/>
      <c r="RG76" s="620"/>
      <c r="RH76" s="620"/>
      <c r="RI76" s="620"/>
      <c r="RJ76" s="620"/>
      <c r="RK76" s="620"/>
      <c r="RL76" s="620"/>
      <c r="RM76" s="620"/>
      <c r="RN76" s="620"/>
      <c r="RO76" s="620"/>
      <c r="RP76" s="620"/>
      <c r="RQ76" s="620"/>
      <c r="RR76" s="620"/>
      <c r="RS76" s="620"/>
      <c r="RT76" s="620"/>
      <c r="RU76" s="620"/>
      <c r="RV76" s="620"/>
      <c r="RW76" s="620"/>
      <c r="RX76" s="620"/>
      <c r="RY76" s="620"/>
      <c r="RZ76" s="620"/>
      <c r="SA76" s="620"/>
      <c r="SB76" s="620"/>
      <c r="SC76" s="620"/>
      <c r="SD76" s="620"/>
      <c r="SE76" s="620"/>
      <c r="SF76" s="620"/>
      <c r="SG76" s="620"/>
      <c r="SH76" s="620"/>
      <c r="SI76" s="620"/>
      <c r="SJ76" s="620"/>
      <c r="SK76" s="620"/>
      <c r="SL76" s="620"/>
      <c r="SM76" s="620"/>
      <c r="SN76" s="620"/>
      <c r="SO76" s="620"/>
      <c r="SP76" s="620"/>
      <c r="SQ76" s="620"/>
      <c r="SR76" s="620"/>
      <c r="SS76" s="620"/>
      <c r="ST76" s="620"/>
      <c r="SU76" s="620"/>
      <c r="SV76" s="620"/>
      <c r="SW76" s="620"/>
      <c r="SX76" s="620"/>
      <c r="SY76" s="620"/>
      <c r="SZ76" s="620"/>
      <c r="TA76" s="620"/>
      <c r="TB76" s="620"/>
      <c r="TC76" s="620"/>
      <c r="TD76" s="620"/>
      <c r="TE76" s="620"/>
      <c r="TF76" s="620"/>
      <c r="TG76" s="620"/>
      <c r="TH76" s="620"/>
      <c r="TI76" s="620"/>
      <c r="TJ76" s="620"/>
      <c r="TK76" s="620"/>
      <c r="TL76" s="620"/>
      <c r="TM76" s="620"/>
      <c r="TN76" s="620"/>
      <c r="TO76" s="620"/>
      <c r="TP76" s="620"/>
      <c r="TQ76" s="620"/>
      <c r="TR76" s="620"/>
      <c r="TS76" s="620"/>
      <c r="TT76" s="620"/>
      <c r="TU76" s="620"/>
      <c r="TV76" s="620"/>
      <c r="TW76" s="620"/>
      <c r="TX76" s="620"/>
      <c r="TY76" s="620"/>
      <c r="TZ76" s="620"/>
      <c r="UA76" s="620"/>
      <c r="UB76" s="620"/>
      <c r="UC76" s="620"/>
      <c r="UD76" s="620"/>
      <c r="UE76" s="620"/>
      <c r="UF76" s="620"/>
      <c r="UG76" s="620"/>
      <c r="UH76" s="620"/>
      <c r="UI76" s="620"/>
      <c r="UJ76" s="620"/>
      <c r="UK76" s="620"/>
      <c r="UL76" s="620"/>
      <c r="UM76" s="620"/>
      <c r="UN76" s="620"/>
      <c r="UO76" s="620"/>
      <c r="UP76" s="620"/>
      <c r="UQ76" s="620"/>
      <c r="UR76" s="620"/>
      <c r="US76" s="620"/>
      <c r="UT76" s="620"/>
      <c r="UU76" s="620"/>
      <c r="UV76" s="620"/>
      <c r="UW76" s="620"/>
      <c r="UX76" s="620"/>
      <c r="UY76" s="620"/>
      <c r="UZ76" s="620"/>
      <c r="VA76" s="620"/>
      <c r="VB76" s="620"/>
      <c r="VC76" s="620"/>
      <c r="VD76" s="620"/>
      <c r="VE76" s="620"/>
      <c r="VF76" s="620"/>
      <c r="VG76" s="620"/>
      <c r="VH76" s="620"/>
      <c r="VI76" s="620"/>
      <c r="VJ76" s="620"/>
      <c r="VK76" s="620"/>
      <c r="VL76" s="620"/>
      <c r="VM76" s="620"/>
      <c r="VN76" s="620"/>
      <c r="VO76" s="620"/>
      <c r="VP76" s="620"/>
      <c r="VQ76" s="620"/>
      <c r="VR76" s="620"/>
      <c r="VS76" s="620"/>
      <c r="VT76" s="620"/>
      <c r="VU76" s="620"/>
      <c r="VV76" s="620"/>
      <c r="VW76" s="620"/>
      <c r="VX76" s="620"/>
      <c r="VY76" s="620"/>
      <c r="VZ76" s="620"/>
      <c r="WA76" s="620"/>
      <c r="WB76" s="620"/>
      <c r="WC76" s="620"/>
      <c r="WD76" s="620"/>
      <c r="WE76" s="620"/>
      <c r="WF76" s="620"/>
      <c r="WG76" s="620"/>
      <c r="WH76" s="620"/>
      <c r="WI76" s="620"/>
      <c r="WJ76" s="620"/>
      <c r="WK76" s="620"/>
      <c r="WL76" s="620"/>
      <c r="WM76" s="620"/>
      <c r="WN76" s="620"/>
      <c r="WO76" s="620"/>
      <c r="WP76" s="620"/>
      <c r="WQ76" s="620"/>
      <c r="WR76" s="620"/>
      <c r="WS76" s="620"/>
      <c r="WT76" s="620"/>
      <c r="WU76" s="620"/>
      <c r="WV76" s="620"/>
      <c r="WW76" s="620"/>
      <c r="WX76" s="620"/>
      <c r="WY76" s="620"/>
      <c r="WZ76" s="620"/>
      <c r="XA76" s="620"/>
      <c r="XB76" s="620"/>
      <c r="XC76" s="620"/>
      <c r="XD76" s="620"/>
      <c r="XE76" s="620"/>
      <c r="XF76" s="620"/>
      <c r="XG76" s="620"/>
      <c r="XH76" s="620"/>
      <c r="XI76" s="620"/>
      <c r="XJ76" s="620"/>
      <c r="XK76" s="620"/>
      <c r="XL76" s="620"/>
      <c r="XM76" s="620"/>
      <c r="XN76" s="620"/>
      <c r="XO76" s="620"/>
      <c r="XP76" s="620"/>
      <c r="XQ76" s="620"/>
      <c r="XR76" s="620"/>
      <c r="XS76" s="620"/>
      <c r="XT76" s="620"/>
      <c r="XU76" s="620"/>
      <c r="XV76" s="620"/>
      <c r="XW76" s="620"/>
      <c r="XX76" s="620"/>
      <c r="XY76" s="620"/>
      <c r="XZ76" s="620"/>
      <c r="YA76" s="620"/>
      <c r="YB76" s="620"/>
      <c r="YC76" s="620"/>
      <c r="YD76" s="620"/>
      <c r="YE76" s="620"/>
      <c r="YF76" s="620"/>
      <c r="YG76" s="620"/>
      <c r="YH76" s="620"/>
      <c r="YI76" s="620"/>
      <c r="YJ76" s="620"/>
      <c r="YK76" s="620"/>
      <c r="YL76" s="620"/>
      <c r="YM76" s="620"/>
      <c r="YN76" s="620"/>
      <c r="YO76" s="620"/>
      <c r="YP76" s="620"/>
      <c r="YQ76" s="620"/>
      <c r="YR76" s="620"/>
      <c r="YS76" s="620"/>
      <c r="YT76" s="620"/>
      <c r="YU76" s="620"/>
      <c r="YV76" s="620"/>
      <c r="YW76" s="620"/>
      <c r="YX76" s="620"/>
      <c r="YY76" s="620"/>
      <c r="YZ76" s="620"/>
      <c r="ZA76" s="620"/>
      <c r="ZB76" s="620"/>
      <c r="ZC76" s="620"/>
      <c r="ZD76" s="620"/>
      <c r="ZE76" s="620"/>
      <c r="ZF76" s="620"/>
      <c r="ZG76" s="620"/>
      <c r="ZH76" s="620"/>
      <c r="ZI76" s="620"/>
      <c r="ZJ76" s="620"/>
      <c r="ZK76" s="620"/>
      <c r="ZL76" s="620"/>
      <c r="ZM76" s="620"/>
      <c r="ZN76" s="620"/>
      <c r="ZO76" s="620"/>
      <c r="ZP76" s="620"/>
      <c r="ZQ76" s="620"/>
      <c r="ZR76" s="620"/>
      <c r="ZS76" s="620"/>
      <c r="ZT76" s="620"/>
      <c r="ZU76" s="620"/>
      <c r="ZV76" s="620"/>
      <c r="ZW76" s="620"/>
      <c r="ZX76" s="620"/>
      <c r="ZY76" s="620"/>
      <c r="ZZ76" s="620"/>
      <c r="AAA76" s="620"/>
      <c r="AAB76" s="620"/>
      <c r="AAC76" s="620"/>
      <c r="AAD76" s="620"/>
      <c r="AAE76" s="620"/>
      <c r="AAF76" s="620"/>
      <c r="AAG76" s="620"/>
      <c r="AAH76" s="620"/>
      <c r="AAI76" s="620"/>
      <c r="AAJ76" s="620"/>
      <c r="AAK76" s="620"/>
      <c r="AAL76" s="620"/>
      <c r="AAM76" s="620"/>
      <c r="AAN76" s="620"/>
      <c r="AAO76" s="620"/>
      <c r="AAP76" s="620"/>
      <c r="AAQ76" s="620"/>
      <c r="AAR76" s="620"/>
      <c r="AAS76" s="620"/>
      <c r="AAT76" s="620"/>
      <c r="AAU76" s="620"/>
      <c r="AAV76" s="620"/>
      <c r="AAW76" s="620"/>
      <c r="AAX76" s="620"/>
      <c r="AAY76" s="620"/>
      <c r="AAZ76" s="620"/>
      <c r="ABA76" s="620"/>
      <c r="ABB76" s="620"/>
      <c r="ABC76" s="620"/>
      <c r="ABD76" s="620"/>
      <c r="ABE76" s="620"/>
      <c r="ABF76" s="620"/>
      <c r="ABG76" s="620"/>
      <c r="ABH76" s="620"/>
      <c r="ABI76" s="620"/>
      <c r="ABJ76" s="620"/>
      <c r="ABK76" s="620"/>
      <c r="ABL76" s="620"/>
      <c r="ABM76" s="620"/>
      <c r="ABN76" s="620"/>
      <c r="ABO76" s="620"/>
      <c r="ABP76" s="620"/>
      <c r="ABQ76" s="620"/>
      <c r="ABR76" s="620"/>
      <c r="ABS76" s="620"/>
      <c r="ABT76" s="620"/>
      <c r="ABU76" s="620"/>
      <c r="ABV76" s="620"/>
      <c r="ABW76" s="620"/>
      <c r="ABX76" s="620"/>
      <c r="ABY76" s="620"/>
      <c r="ABZ76" s="620"/>
      <c r="ACA76" s="620"/>
      <c r="ACB76" s="620"/>
      <c r="ACC76" s="620"/>
      <c r="ACD76" s="620"/>
      <c r="ACE76" s="620"/>
      <c r="ACF76" s="620"/>
      <c r="ACG76" s="620"/>
      <c r="ACH76" s="620"/>
      <c r="ACI76" s="620"/>
      <c r="ACJ76" s="620"/>
      <c r="ACK76" s="620"/>
      <c r="ACL76" s="620"/>
      <c r="ACM76" s="620"/>
      <c r="ACN76" s="620"/>
      <c r="ACO76" s="620"/>
      <c r="ACP76" s="620"/>
      <c r="ACQ76" s="620"/>
      <c r="ACR76" s="620"/>
      <c r="ACS76" s="620"/>
      <c r="ACT76" s="620"/>
      <c r="ACU76" s="620"/>
      <c r="ACV76" s="620"/>
      <c r="ACW76" s="620"/>
      <c r="ACX76" s="620"/>
      <c r="ACY76" s="620"/>
      <c r="ACZ76" s="620"/>
      <c r="ADA76" s="620"/>
      <c r="ADB76" s="620"/>
      <c r="ADC76" s="620"/>
      <c r="ADD76" s="620"/>
      <c r="ADE76" s="620"/>
      <c r="ADF76" s="620"/>
      <c r="ADG76" s="620"/>
      <c r="ADH76" s="620"/>
      <c r="ADI76" s="620"/>
      <c r="ADJ76" s="620"/>
      <c r="ADK76" s="620"/>
      <c r="ADL76" s="620"/>
      <c r="ADM76" s="620"/>
      <c r="ADN76" s="620"/>
      <c r="ADO76" s="620"/>
      <c r="ADP76" s="620"/>
      <c r="ADQ76" s="620"/>
      <c r="ADR76" s="620"/>
      <c r="ADS76" s="620"/>
      <c r="ADT76" s="620"/>
      <c r="ADU76" s="620"/>
      <c r="ADV76" s="620"/>
      <c r="ADW76" s="620"/>
      <c r="ADX76" s="620"/>
      <c r="ADY76" s="620"/>
      <c r="ADZ76" s="620"/>
      <c r="AEA76" s="620"/>
      <c r="AEB76" s="620"/>
      <c r="AEC76" s="620"/>
      <c r="AED76" s="620"/>
      <c r="AEE76" s="620"/>
      <c r="AEF76" s="620"/>
      <c r="AEG76" s="620"/>
      <c r="AEH76" s="620"/>
      <c r="AEI76" s="620"/>
      <c r="AEJ76" s="620"/>
      <c r="AEK76" s="620"/>
      <c r="AEL76" s="620"/>
      <c r="AEM76" s="620"/>
      <c r="AEN76" s="620"/>
      <c r="AEO76" s="620"/>
      <c r="AEP76" s="620"/>
      <c r="AEQ76" s="620"/>
      <c r="AER76" s="620"/>
      <c r="AES76" s="620"/>
      <c r="AET76" s="620"/>
      <c r="AEU76" s="620"/>
      <c r="AEV76" s="620"/>
      <c r="AEW76" s="620"/>
      <c r="AEX76" s="620"/>
      <c r="AEY76" s="620"/>
      <c r="AEZ76" s="620"/>
      <c r="AFA76" s="620"/>
      <c r="AFB76" s="620"/>
      <c r="AFC76" s="620"/>
      <c r="AFD76" s="620"/>
      <c r="AFE76" s="620"/>
      <c r="AFF76" s="620"/>
      <c r="AFG76" s="620"/>
      <c r="AFH76" s="620"/>
      <c r="AFI76" s="620"/>
      <c r="AFJ76" s="620"/>
      <c r="AFK76" s="620"/>
      <c r="AFL76" s="620"/>
      <c r="AFM76" s="620"/>
      <c r="AFN76" s="620"/>
      <c r="AFO76" s="620"/>
      <c r="AFP76" s="620"/>
      <c r="AFQ76" s="620"/>
      <c r="AFR76" s="620"/>
      <c r="AFS76" s="620"/>
      <c r="AFT76" s="620"/>
      <c r="AFU76" s="620"/>
      <c r="AFV76" s="620"/>
      <c r="AFW76" s="620"/>
      <c r="AFX76" s="620"/>
      <c r="AFY76" s="620"/>
      <c r="AFZ76" s="620"/>
      <c r="AGA76" s="620"/>
      <c r="AGB76" s="620"/>
      <c r="AGC76" s="620"/>
      <c r="AGD76" s="620"/>
      <c r="AGE76" s="620"/>
      <c r="AGF76" s="620"/>
      <c r="AGG76" s="620"/>
      <c r="AGH76" s="620"/>
      <c r="AGI76" s="620"/>
      <c r="AGJ76" s="620"/>
      <c r="AGK76" s="620"/>
      <c r="AGL76" s="620"/>
      <c r="AGM76" s="620"/>
      <c r="AGN76" s="620"/>
      <c r="AGO76" s="620"/>
      <c r="AGP76" s="620"/>
      <c r="AGQ76" s="620"/>
      <c r="AGR76" s="620"/>
      <c r="AGS76" s="620"/>
      <c r="AGT76" s="620"/>
      <c r="AGU76" s="620"/>
      <c r="AGV76" s="620"/>
      <c r="AGW76" s="620"/>
      <c r="AGX76" s="620"/>
      <c r="AGY76" s="620"/>
      <c r="AGZ76" s="620"/>
      <c r="AHA76" s="620"/>
      <c r="AHB76" s="620"/>
      <c r="AHC76" s="620"/>
      <c r="AHD76" s="620"/>
      <c r="AHE76" s="620"/>
      <c r="AHF76" s="620"/>
      <c r="AHG76" s="620"/>
      <c r="AHH76" s="620"/>
      <c r="AHI76" s="620"/>
      <c r="AHJ76" s="620"/>
      <c r="AHK76" s="620"/>
      <c r="AHL76" s="620"/>
      <c r="AHM76" s="620"/>
      <c r="AHN76" s="620"/>
      <c r="AHO76" s="620"/>
      <c r="AHP76" s="620"/>
      <c r="AHQ76" s="620"/>
      <c r="AHR76" s="620"/>
      <c r="AHS76" s="620"/>
      <c r="AHT76" s="620"/>
      <c r="AHU76" s="620"/>
      <c r="AHV76" s="620"/>
      <c r="AHW76" s="620"/>
      <c r="AHX76" s="620"/>
      <c r="AHY76" s="620"/>
      <c r="AHZ76" s="620"/>
      <c r="AIA76" s="620"/>
      <c r="AIB76" s="620"/>
      <c r="AIC76" s="620"/>
      <c r="AID76" s="620"/>
      <c r="AIE76" s="620"/>
      <c r="AIF76" s="620"/>
      <c r="AIG76" s="620"/>
      <c r="AIH76" s="620"/>
      <c r="AII76" s="620"/>
      <c r="AIJ76" s="620"/>
      <c r="AIK76" s="620"/>
      <c r="AIL76" s="620"/>
      <c r="AIM76" s="620"/>
      <c r="AIN76" s="620"/>
      <c r="AIO76" s="620"/>
      <c r="AIP76" s="620"/>
      <c r="AIQ76" s="620"/>
      <c r="AIR76" s="620"/>
      <c r="AIS76" s="620"/>
      <c r="AIT76" s="620"/>
      <c r="AIU76" s="620"/>
      <c r="AIV76" s="620"/>
      <c r="AIW76" s="620"/>
      <c r="AIX76" s="620"/>
      <c r="AIY76" s="620"/>
      <c r="AIZ76" s="620"/>
      <c r="AJA76" s="620"/>
      <c r="AJB76" s="620"/>
      <c r="AJC76" s="620"/>
      <c r="AJD76" s="620"/>
      <c r="AJE76" s="620"/>
      <c r="AJF76" s="620"/>
      <c r="AJG76" s="620"/>
      <c r="AJH76" s="620"/>
      <c r="AJI76" s="620"/>
      <c r="AJJ76" s="620"/>
      <c r="AJK76" s="620"/>
      <c r="AJL76" s="620"/>
      <c r="AJM76" s="620"/>
      <c r="AJN76" s="620"/>
      <c r="AJO76" s="620"/>
      <c r="AJP76" s="620"/>
      <c r="AJQ76" s="620"/>
      <c r="AJR76" s="620"/>
      <c r="AJS76" s="620"/>
      <c r="AJT76" s="620"/>
      <c r="AJU76" s="620"/>
      <c r="AJV76" s="620"/>
      <c r="AJW76" s="620"/>
      <c r="AJX76" s="620"/>
      <c r="AJY76" s="620"/>
      <c r="AJZ76" s="620"/>
      <c r="AKA76" s="620"/>
      <c r="AKB76" s="620"/>
      <c r="AKC76" s="620"/>
      <c r="AKD76" s="620"/>
      <c r="AKE76" s="620"/>
      <c r="AKF76" s="620"/>
      <c r="AKG76" s="620"/>
      <c r="AKH76" s="620"/>
      <c r="AKI76" s="620"/>
      <c r="AKJ76" s="620"/>
      <c r="AKK76" s="620"/>
      <c r="AKL76" s="620"/>
      <c r="AKM76" s="620"/>
      <c r="AKN76" s="620"/>
      <c r="AKO76" s="620"/>
      <c r="AKP76" s="620"/>
      <c r="AKQ76" s="620"/>
      <c r="AKR76" s="620"/>
      <c r="AKS76" s="620"/>
      <c r="AKT76" s="620"/>
      <c r="AKU76" s="620"/>
      <c r="AKV76" s="620"/>
      <c r="AKW76" s="620"/>
      <c r="AKX76" s="620"/>
      <c r="AKY76" s="620"/>
      <c r="AKZ76" s="620"/>
      <c r="ALA76" s="620"/>
      <c r="ALB76" s="620"/>
      <c r="ALC76" s="620"/>
      <c r="ALD76" s="620"/>
      <c r="ALE76" s="620"/>
      <c r="ALF76" s="620"/>
      <c r="ALG76" s="620"/>
      <c r="ALH76" s="620"/>
      <c r="ALI76" s="620"/>
      <c r="ALJ76" s="620"/>
      <c r="ALK76" s="620"/>
      <c r="ALL76" s="620"/>
      <c r="ALM76" s="620"/>
      <c r="ALN76" s="620"/>
      <c r="ALO76" s="620"/>
      <c r="ALP76" s="620"/>
      <c r="ALQ76" s="620"/>
      <c r="ALR76" s="620"/>
      <c r="ALS76" s="620"/>
      <c r="ALT76" s="620"/>
      <c r="ALU76" s="620"/>
      <c r="ALV76" s="620"/>
      <c r="ALW76" s="620"/>
      <c r="ALX76" s="620"/>
      <c r="ALY76" s="620"/>
      <c r="ALZ76" s="620"/>
    </row>
    <row r="77" spans="1:1014" s="224" customFormat="1" ht="13.5" customHeight="1">
      <c r="A77" s="225">
        <v>63</v>
      </c>
      <c r="B77" s="217"/>
      <c r="C77" s="217" t="s">
        <v>264</v>
      </c>
      <c r="D77" s="217"/>
      <c r="E77" s="217"/>
      <c r="F77" s="217"/>
      <c r="G77" s="217"/>
      <c r="H77" s="575"/>
      <c r="I77" s="611" t="s">
        <v>1207</v>
      </c>
      <c r="J77" s="575" t="s">
        <v>1208</v>
      </c>
      <c r="K77" s="611"/>
      <c r="L77" s="575"/>
      <c r="M77" s="575"/>
      <c r="N77" s="575"/>
      <c r="O77" s="575"/>
      <c r="P77" s="252"/>
      <c r="Q77" s="575" t="s">
        <v>820</v>
      </c>
      <c r="R77" s="575"/>
      <c r="S77" s="619" t="s">
        <v>863</v>
      </c>
      <c r="T77" s="282"/>
      <c r="U77" s="575" t="s">
        <v>1209</v>
      </c>
      <c r="V77" s="614"/>
      <c r="W77" s="614" t="s">
        <v>864</v>
      </c>
      <c r="X77" s="232"/>
      <c r="Y77" s="615"/>
      <c r="Z77" s="575" t="s">
        <v>1210</v>
      </c>
      <c r="AA77" s="245" t="s">
        <v>1211</v>
      </c>
      <c r="AB77" s="575"/>
      <c r="AC77" s="613"/>
      <c r="AD77" s="613">
        <v>1</v>
      </c>
    </row>
    <row r="78" spans="1:1014" s="224" customFormat="1" ht="13.5" customHeight="1">
      <c r="A78" s="225">
        <v>64</v>
      </c>
      <c r="B78" s="217"/>
      <c r="C78" s="217" t="s">
        <v>767</v>
      </c>
      <c r="D78" s="217"/>
      <c r="E78" s="217"/>
      <c r="F78" s="217"/>
      <c r="G78" s="217"/>
      <c r="H78" s="575" t="s">
        <v>1212</v>
      </c>
      <c r="I78" s="611" t="s">
        <v>1213</v>
      </c>
      <c r="J78" s="575" t="s">
        <v>1214</v>
      </c>
      <c r="K78" s="611" t="s">
        <v>939</v>
      </c>
      <c r="L78" s="575" t="s">
        <v>1215</v>
      </c>
      <c r="M78" s="575" t="s">
        <v>1216</v>
      </c>
      <c r="N78" s="575"/>
      <c r="O78" s="575"/>
      <c r="P78" s="252"/>
      <c r="Q78" s="575" t="s">
        <v>817</v>
      </c>
      <c r="R78" s="575"/>
      <c r="S78" s="575" t="s">
        <v>863</v>
      </c>
      <c r="T78" s="613"/>
      <c r="U78" s="575"/>
      <c r="V78" s="614"/>
      <c r="W78" s="614" t="s">
        <v>864</v>
      </c>
      <c r="X78" s="232"/>
      <c r="Y78" s="615"/>
      <c r="Z78" s="575"/>
      <c r="AA78" s="616"/>
      <c r="AB78" s="575"/>
      <c r="AC78" s="613">
        <v>1</v>
      </c>
      <c r="AD78" s="613">
        <v>1</v>
      </c>
    </row>
    <row r="79" spans="1:1014" s="224" customFormat="1" ht="13.5" customHeight="1">
      <c r="A79" s="225">
        <v>65</v>
      </c>
      <c r="B79" s="217" t="s">
        <v>1217</v>
      </c>
      <c r="C79" s="242"/>
      <c r="D79" s="241"/>
      <c r="E79" s="241"/>
      <c r="F79" s="241"/>
      <c r="G79" s="241"/>
      <c r="H79" s="575" t="s">
        <v>1218</v>
      </c>
      <c r="I79" s="611"/>
      <c r="J79" s="575" t="s">
        <v>1219</v>
      </c>
      <c r="K79" s="611" t="s">
        <v>1220</v>
      </c>
      <c r="L79" s="575"/>
      <c r="M79" s="575"/>
      <c r="N79" s="575"/>
      <c r="O79" s="575"/>
      <c r="P79" s="612"/>
      <c r="Q79" s="575" t="s">
        <v>817</v>
      </c>
      <c r="R79" s="575" t="s">
        <v>864</v>
      </c>
      <c r="S79" s="243" t="s">
        <v>1221</v>
      </c>
      <c r="T79" s="283"/>
      <c r="U79" s="575"/>
      <c r="V79" s="614"/>
      <c r="W79" s="614" t="s">
        <v>864</v>
      </c>
      <c r="X79" s="232"/>
      <c r="Y79" s="615"/>
      <c r="Z79" s="575"/>
      <c r="AA79" s="616"/>
      <c r="AB79" s="575"/>
      <c r="AC79" s="613">
        <v>1</v>
      </c>
      <c r="AD79" s="613">
        <v>1</v>
      </c>
    </row>
    <row r="80" spans="1:1014" s="231" customFormat="1" ht="13.5" customHeight="1">
      <c r="A80" s="225">
        <v>66</v>
      </c>
      <c r="B80" s="217"/>
      <c r="C80" s="610" t="s">
        <v>1222</v>
      </c>
      <c r="D80" s="610"/>
      <c r="E80" s="610"/>
      <c r="F80" s="610"/>
      <c r="G80" s="610"/>
      <c r="H80" s="575" t="s">
        <v>1223</v>
      </c>
      <c r="I80" s="611" t="s">
        <v>1224</v>
      </c>
      <c r="J80" s="575" t="s">
        <v>1225</v>
      </c>
      <c r="K80" s="611" t="s">
        <v>1205</v>
      </c>
      <c r="L80" s="575"/>
      <c r="M80" s="575"/>
      <c r="N80" s="575"/>
      <c r="O80" s="575"/>
      <c r="P80" s="612">
        <v>1</v>
      </c>
      <c r="Q80" s="575" t="s">
        <v>820</v>
      </c>
      <c r="R80" s="575"/>
      <c r="S80" s="575" t="s">
        <v>863</v>
      </c>
      <c r="T80" s="613"/>
      <c r="U80" s="575"/>
      <c r="V80" s="614"/>
      <c r="W80" s="614" t="s">
        <v>864</v>
      </c>
      <c r="X80" s="232"/>
      <c r="Y80" s="615"/>
      <c r="Z80" s="575"/>
      <c r="AA80" s="616"/>
      <c r="AB80" s="575"/>
      <c r="AC80" s="613">
        <v>1</v>
      </c>
      <c r="AD80" s="613">
        <v>1</v>
      </c>
      <c r="AE80" s="620"/>
      <c r="AF80" s="620"/>
      <c r="AG80" s="620"/>
      <c r="AH80" s="620"/>
      <c r="AI80" s="620"/>
      <c r="AJ80" s="620"/>
      <c r="AK80" s="620"/>
      <c r="AL80" s="620"/>
      <c r="AM80" s="620"/>
      <c r="AN80" s="620"/>
      <c r="AO80" s="620"/>
      <c r="AP80" s="620"/>
      <c r="AQ80" s="620"/>
      <c r="AR80" s="620"/>
      <c r="AS80" s="620"/>
      <c r="AT80" s="620"/>
      <c r="AU80" s="620"/>
      <c r="AV80" s="620"/>
      <c r="AW80" s="620"/>
      <c r="AX80" s="620"/>
      <c r="AY80" s="620"/>
      <c r="AZ80" s="620"/>
      <c r="BA80" s="620"/>
      <c r="BB80" s="620"/>
      <c r="BC80" s="620"/>
      <c r="BD80" s="620"/>
      <c r="BE80" s="620"/>
      <c r="BF80" s="620"/>
      <c r="BG80" s="620"/>
      <c r="BH80" s="620"/>
      <c r="BI80" s="620"/>
      <c r="BJ80" s="620"/>
      <c r="BK80" s="620"/>
      <c r="BL80" s="620"/>
      <c r="BM80" s="620"/>
      <c r="BN80" s="620"/>
      <c r="BO80" s="620"/>
      <c r="BP80" s="620"/>
      <c r="BQ80" s="620"/>
      <c r="BR80" s="620"/>
      <c r="BS80" s="620"/>
      <c r="BT80" s="620"/>
      <c r="BU80" s="620"/>
      <c r="BV80" s="620"/>
      <c r="BW80" s="620"/>
      <c r="BX80" s="620"/>
      <c r="BY80" s="620"/>
      <c r="BZ80" s="620"/>
      <c r="CA80" s="620"/>
      <c r="CB80" s="620"/>
      <c r="CC80" s="620"/>
      <c r="CD80" s="620"/>
      <c r="CE80" s="620"/>
      <c r="CF80" s="620"/>
      <c r="CG80" s="620"/>
      <c r="CH80" s="620"/>
      <c r="CI80" s="620"/>
      <c r="CJ80" s="620"/>
      <c r="CK80" s="620"/>
      <c r="CL80" s="620"/>
      <c r="CM80" s="620"/>
      <c r="CN80" s="620"/>
      <c r="CO80" s="620"/>
      <c r="CP80" s="620"/>
      <c r="CQ80" s="620"/>
      <c r="CR80" s="620"/>
      <c r="CS80" s="620"/>
      <c r="CT80" s="620"/>
      <c r="CU80" s="620"/>
      <c r="CV80" s="620"/>
      <c r="CW80" s="620"/>
      <c r="CX80" s="620"/>
      <c r="CY80" s="620"/>
      <c r="CZ80" s="620"/>
      <c r="DA80" s="620"/>
      <c r="DB80" s="620"/>
      <c r="DC80" s="620"/>
      <c r="DD80" s="620"/>
      <c r="DE80" s="620"/>
      <c r="DF80" s="620"/>
      <c r="DG80" s="620"/>
      <c r="DH80" s="620"/>
      <c r="DI80" s="620"/>
      <c r="DJ80" s="620"/>
      <c r="DK80" s="620"/>
      <c r="DL80" s="620"/>
      <c r="DM80" s="620"/>
      <c r="DN80" s="620"/>
      <c r="DO80" s="620"/>
      <c r="DP80" s="620"/>
      <c r="DQ80" s="620"/>
      <c r="DR80" s="620"/>
      <c r="DS80" s="620"/>
      <c r="DT80" s="620"/>
      <c r="DU80" s="620"/>
      <c r="DV80" s="620"/>
      <c r="DW80" s="620"/>
      <c r="DX80" s="620"/>
      <c r="DY80" s="620"/>
      <c r="DZ80" s="620"/>
      <c r="EA80" s="620"/>
      <c r="EB80" s="620"/>
      <c r="EC80" s="620"/>
      <c r="ED80" s="620"/>
      <c r="EE80" s="620"/>
      <c r="EF80" s="620"/>
      <c r="EG80" s="620"/>
      <c r="EH80" s="620"/>
      <c r="EI80" s="620"/>
      <c r="EJ80" s="620"/>
      <c r="EK80" s="620"/>
      <c r="EL80" s="620"/>
      <c r="EM80" s="620"/>
      <c r="EN80" s="620"/>
      <c r="EO80" s="620"/>
      <c r="EP80" s="620"/>
      <c r="EQ80" s="620"/>
      <c r="ER80" s="620"/>
      <c r="ES80" s="620"/>
      <c r="ET80" s="620"/>
      <c r="EU80" s="620"/>
      <c r="EV80" s="620"/>
      <c r="EW80" s="620"/>
      <c r="EX80" s="620"/>
      <c r="EY80" s="620"/>
      <c r="EZ80" s="620"/>
      <c r="FA80" s="620"/>
      <c r="FB80" s="620"/>
      <c r="FC80" s="620"/>
      <c r="FD80" s="620"/>
      <c r="FE80" s="620"/>
      <c r="FF80" s="620"/>
      <c r="FG80" s="620"/>
      <c r="FH80" s="620"/>
      <c r="FI80" s="620"/>
      <c r="FJ80" s="620"/>
      <c r="FK80" s="620"/>
      <c r="FL80" s="620"/>
      <c r="FM80" s="620"/>
      <c r="FN80" s="620"/>
      <c r="FO80" s="620"/>
      <c r="FP80" s="620"/>
      <c r="FQ80" s="620"/>
      <c r="FR80" s="620"/>
      <c r="FS80" s="620"/>
      <c r="FT80" s="620"/>
      <c r="FU80" s="620"/>
      <c r="FV80" s="620"/>
      <c r="FW80" s="620"/>
      <c r="FX80" s="620"/>
      <c r="FY80" s="620"/>
      <c r="FZ80" s="620"/>
      <c r="GA80" s="620"/>
      <c r="GB80" s="620"/>
      <c r="GC80" s="620"/>
      <c r="GD80" s="620"/>
      <c r="GE80" s="620"/>
      <c r="GF80" s="620"/>
      <c r="GG80" s="620"/>
      <c r="GH80" s="620"/>
      <c r="GI80" s="620"/>
      <c r="GJ80" s="620"/>
      <c r="GK80" s="620"/>
      <c r="GL80" s="620"/>
      <c r="GM80" s="620"/>
      <c r="GN80" s="620"/>
      <c r="GO80" s="620"/>
      <c r="GP80" s="620"/>
      <c r="GQ80" s="620"/>
      <c r="GR80" s="620"/>
      <c r="GS80" s="620"/>
      <c r="GT80" s="620"/>
      <c r="GU80" s="620"/>
      <c r="GV80" s="620"/>
      <c r="GW80" s="620"/>
      <c r="GX80" s="620"/>
      <c r="GY80" s="620"/>
      <c r="GZ80" s="620"/>
      <c r="HA80" s="620"/>
      <c r="HB80" s="620"/>
      <c r="HC80" s="620"/>
      <c r="HD80" s="620"/>
      <c r="HE80" s="620"/>
      <c r="HF80" s="620"/>
      <c r="HG80" s="620"/>
      <c r="HH80" s="620"/>
      <c r="HI80" s="620"/>
      <c r="HJ80" s="620"/>
      <c r="HK80" s="620"/>
      <c r="HL80" s="620"/>
      <c r="HM80" s="620"/>
      <c r="HN80" s="620"/>
      <c r="HO80" s="620"/>
      <c r="HP80" s="620"/>
      <c r="HQ80" s="620"/>
      <c r="HR80" s="620"/>
      <c r="HS80" s="620"/>
      <c r="HT80" s="620"/>
      <c r="HU80" s="620"/>
      <c r="HV80" s="620"/>
      <c r="HW80" s="620"/>
      <c r="HX80" s="620"/>
      <c r="HY80" s="620"/>
      <c r="HZ80" s="620"/>
      <c r="IA80" s="620"/>
      <c r="IB80" s="620"/>
      <c r="IC80" s="620"/>
      <c r="ID80" s="620"/>
      <c r="IE80" s="620"/>
      <c r="IF80" s="620"/>
      <c r="IG80" s="620"/>
      <c r="IH80" s="620"/>
      <c r="II80" s="620"/>
      <c r="IJ80" s="620"/>
      <c r="IK80" s="620"/>
      <c r="IL80" s="620"/>
      <c r="IM80" s="620"/>
      <c r="IN80" s="620"/>
      <c r="IO80" s="620"/>
      <c r="IP80" s="620"/>
      <c r="IQ80" s="620"/>
      <c r="IR80" s="620"/>
      <c r="IS80" s="620"/>
      <c r="IT80" s="620"/>
      <c r="IU80" s="620"/>
      <c r="IV80" s="620"/>
      <c r="IW80" s="620"/>
      <c r="IX80" s="620"/>
      <c r="IY80" s="620"/>
      <c r="IZ80" s="620"/>
      <c r="JA80" s="620"/>
      <c r="JB80" s="620"/>
      <c r="JC80" s="620"/>
      <c r="JD80" s="620"/>
      <c r="JE80" s="620"/>
      <c r="JF80" s="620"/>
      <c r="JG80" s="620"/>
      <c r="JH80" s="620"/>
      <c r="JI80" s="620"/>
      <c r="JJ80" s="620"/>
      <c r="JK80" s="620"/>
      <c r="JL80" s="620"/>
      <c r="JM80" s="620"/>
      <c r="JN80" s="620"/>
      <c r="JO80" s="620"/>
      <c r="JP80" s="620"/>
      <c r="JQ80" s="620"/>
      <c r="JR80" s="620"/>
      <c r="JS80" s="620"/>
      <c r="JT80" s="620"/>
      <c r="JU80" s="620"/>
      <c r="JV80" s="620"/>
      <c r="JW80" s="620"/>
      <c r="JX80" s="620"/>
      <c r="JY80" s="620"/>
      <c r="JZ80" s="620"/>
      <c r="KA80" s="620"/>
      <c r="KB80" s="620"/>
      <c r="KC80" s="620"/>
      <c r="KD80" s="620"/>
      <c r="KE80" s="620"/>
      <c r="KF80" s="620"/>
      <c r="KG80" s="620"/>
      <c r="KH80" s="620"/>
      <c r="KI80" s="620"/>
      <c r="KJ80" s="620"/>
      <c r="KK80" s="620"/>
      <c r="KL80" s="620"/>
      <c r="KM80" s="620"/>
      <c r="KN80" s="620"/>
      <c r="KO80" s="620"/>
      <c r="KP80" s="620"/>
      <c r="KQ80" s="620"/>
      <c r="KR80" s="620"/>
      <c r="KS80" s="620"/>
      <c r="KT80" s="620"/>
      <c r="KU80" s="620"/>
      <c r="KV80" s="620"/>
      <c r="KW80" s="620"/>
      <c r="KX80" s="620"/>
      <c r="KY80" s="620"/>
      <c r="KZ80" s="620"/>
      <c r="LA80" s="620"/>
      <c r="LB80" s="620"/>
      <c r="LC80" s="620"/>
      <c r="LD80" s="620"/>
      <c r="LE80" s="620"/>
      <c r="LF80" s="620"/>
      <c r="LG80" s="620"/>
      <c r="LH80" s="620"/>
      <c r="LI80" s="620"/>
      <c r="LJ80" s="620"/>
      <c r="LK80" s="620"/>
      <c r="LL80" s="620"/>
      <c r="LM80" s="620"/>
      <c r="LN80" s="620"/>
      <c r="LO80" s="620"/>
      <c r="LP80" s="620"/>
      <c r="LQ80" s="620"/>
      <c r="LR80" s="620"/>
      <c r="LS80" s="620"/>
      <c r="LT80" s="620"/>
      <c r="LU80" s="620"/>
      <c r="LV80" s="620"/>
      <c r="LW80" s="620"/>
      <c r="LX80" s="620"/>
      <c r="LY80" s="620"/>
      <c r="LZ80" s="620"/>
      <c r="MA80" s="620"/>
      <c r="MB80" s="620"/>
      <c r="MC80" s="620"/>
      <c r="MD80" s="620"/>
      <c r="ME80" s="620"/>
      <c r="MF80" s="620"/>
      <c r="MG80" s="620"/>
      <c r="MH80" s="620"/>
      <c r="MI80" s="620"/>
      <c r="MJ80" s="620"/>
      <c r="MK80" s="620"/>
      <c r="ML80" s="620"/>
      <c r="MM80" s="620"/>
      <c r="MN80" s="620"/>
      <c r="MO80" s="620"/>
      <c r="MP80" s="620"/>
      <c r="MQ80" s="620"/>
      <c r="MR80" s="620"/>
      <c r="MS80" s="620"/>
      <c r="MT80" s="620"/>
      <c r="MU80" s="620"/>
      <c r="MV80" s="620"/>
      <c r="MW80" s="620"/>
      <c r="MX80" s="620"/>
      <c r="MY80" s="620"/>
      <c r="MZ80" s="620"/>
      <c r="NA80" s="620"/>
      <c r="NB80" s="620"/>
      <c r="NC80" s="620"/>
      <c r="ND80" s="620"/>
      <c r="NE80" s="620"/>
      <c r="NF80" s="620"/>
      <c r="NG80" s="620"/>
      <c r="NH80" s="620"/>
      <c r="NI80" s="620"/>
      <c r="NJ80" s="620"/>
      <c r="NK80" s="620"/>
      <c r="NL80" s="620"/>
      <c r="NM80" s="620"/>
      <c r="NN80" s="620"/>
      <c r="NO80" s="620"/>
      <c r="NP80" s="620"/>
      <c r="NQ80" s="620"/>
      <c r="NR80" s="620"/>
      <c r="NS80" s="620"/>
      <c r="NT80" s="620"/>
      <c r="NU80" s="620"/>
      <c r="NV80" s="620"/>
      <c r="NW80" s="620"/>
      <c r="NX80" s="620"/>
      <c r="NY80" s="620"/>
      <c r="NZ80" s="620"/>
      <c r="OA80" s="620"/>
      <c r="OB80" s="620"/>
      <c r="OC80" s="620"/>
      <c r="OD80" s="620"/>
      <c r="OE80" s="620"/>
      <c r="OF80" s="620"/>
      <c r="OG80" s="620"/>
      <c r="OH80" s="620"/>
      <c r="OI80" s="620"/>
      <c r="OJ80" s="620"/>
      <c r="OK80" s="620"/>
      <c r="OL80" s="620"/>
      <c r="OM80" s="620"/>
      <c r="ON80" s="620"/>
      <c r="OO80" s="620"/>
      <c r="OP80" s="620"/>
      <c r="OQ80" s="620"/>
      <c r="OR80" s="620"/>
      <c r="OS80" s="620"/>
      <c r="OT80" s="620"/>
      <c r="OU80" s="620"/>
      <c r="OV80" s="620"/>
      <c r="OW80" s="620"/>
      <c r="OX80" s="620"/>
      <c r="OY80" s="620"/>
      <c r="OZ80" s="620"/>
      <c r="PA80" s="620"/>
      <c r="PB80" s="620"/>
      <c r="PC80" s="620"/>
      <c r="PD80" s="620"/>
      <c r="PE80" s="620"/>
      <c r="PF80" s="620"/>
      <c r="PG80" s="620"/>
      <c r="PH80" s="620"/>
      <c r="PI80" s="620"/>
      <c r="PJ80" s="620"/>
      <c r="PK80" s="620"/>
      <c r="PL80" s="620"/>
      <c r="PM80" s="620"/>
      <c r="PN80" s="620"/>
      <c r="PO80" s="620"/>
      <c r="PP80" s="620"/>
      <c r="PQ80" s="620"/>
      <c r="PR80" s="620"/>
      <c r="PS80" s="620"/>
      <c r="PT80" s="620"/>
      <c r="PU80" s="620"/>
      <c r="PV80" s="620"/>
      <c r="PW80" s="620"/>
      <c r="PX80" s="620"/>
      <c r="PY80" s="620"/>
      <c r="PZ80" s="620"/>
      <c r="QA80" s="620"/>
      <c r="QB80" s="620"/>
      <c r="QC80" s="620"/>
      <c r="QD80" s="620"/>
      <c r="QE80" s="620"/>
      <c r="QF80" s="620"/>
      <c r="QG80" s="620"/>
      <c r="QH80" s="620"/>
      <c r="QI80" s="620"/>
      <c r="QJ80" s="620"/>
      <c r="QK80" s="620"/>
      <c r="QL80" s="620"/>
      <c r="QM80" s="620"/>
      <c r="QN80" s="620"/>
      <c r="QO80" s="620"/>
      <c r="QP80" s="620"/>
      <c r="QQ80" s="620"/>
      <c r="QR80" s="620"/>
      <c r="QS80" s="620"/>
      <c r="QT80" s="620"/>
      <c r="QU80" s="620"/>
      <c r="QV80" s="620"/>
      <c r="QW80" s="620"/>
      <c r="QX80" s="620"/>
      <c r="QY80" s="620"/>
      <c r="QZ80" s="620"/>
      <c r="RA80" s="620"/>
      <c r="RB80" s="620"/>
      <c r="RC80" s="620"/>
      <c r="RD80" s="620"/>
      <c r="RE80" s="620"/>
      <c r="RF80" s="620"/>
      <c r="RG80" s="620"/>
      <c r="RH80" s="620"/>
      <c r="RI80" s="620"/>
      <c r="RJ80" s="620"/>
      <c r="RK80" s="620"/>
      <c r="RL80" s="620"/>
      <c r="RM80" s="620"/>
      <c r="RN80" s="620"/>
      <c r="RO80" s="620"/>
      <c r="RP80" s="620"/>
      <c r="RQ80" s="620"/>
      <c r="RR80" s="620"/>
      <c r="RS80" s="620"/>
      <c r="RT80" s="620"/>
      <c r="RU80" s="620"/>
      <c r="RV80" s="620"/>
      <c r="RW80" s="620"/>
      <c r="RX80" s="620"/>
      <c r="RY80" s="620"/>
      <c r="RZ80" s="620"/>
      <c r="SA80" s="620"/>
      <c r="SB80" s="620"/>
      <c r="SC80" s="620"/>
      <c r="SD80" s="620"/>
      <c r="SE80" s="620"/>
      <c r="SF80" s="620"/>
      <c r="SG80" s="620"/>
      <c r="SH80" s="620"/>
      <c r="SI80" s="620"/>
      <c r="SJ80" s="620"/>
      <c r="SK80" s="620"/>
      <c r="SL80" s="620"/>
      <c r="SM80" s="620"/>
      <c r="SN80" s="620"/>
      <c r="SO80" s="620"/>
      <c r="SP80" s="620"/>
      <c r="SQ80" s="620"/>
      <c r="SR80" s="620"/>
      <c r="SS80" s="620"/>
      <c r="ST80" s="620"/>
      <c r="SU80" s="620"/>
      <c r="SV80" s="620"/>
      <c r="SW80" s="620"/>
      <c r="SX80" s="620"/>
      <c r="SY80" s="620"/>
      <c r="SZ80" s="620"/>
      <c r="TA80" s="620"/>
      <c r="TB80" s="620"/>
      <c r="TC80" s="620"/>
      <c r="TD80" s="620"/>
      <c r="TE80" s="620"/>
      <c r="TF80" s="620"/>
      <c r="TG80" s="620"/>
      <c r="TH80" s="620"/>
      <c r="TI80" s="620"/>
      <c r="TJ80" s="620"/>
      <c r="TK80" s="620"/>
      <c r="TL80" s="620"/>
      <c r="TM80" s="620"/>
      <c r="TN80" s="620"/>
      <c r="TO80" s="620"/>
      <c r="TP80" s="620"/>
      <c r="TQ80" s="620"/>
      <c r="TR80" s="620"/>
      <c r="TS80" s="620"/>
      <c r="TT80" s="620"/>
      <c r="TU80" s="620"/>
      <c r="TV80" s="620"/>
      <c r="TW80" s="620"/>
      <c r="TX80" s="620"/>
      <c r="TY80" s="620"/>
      <c r="TZ80" s="620"/>
      <c r="UA80" s="620"/>
      <c r="UB80" s="620"/>
      <c r="UC80" s="620"/>
      <c r="UD80" s="620"/>
      <c r="UE80" s="620"/>
      <c r="UF80" s="620"/>
      <c r="UG80" s="620"/>
      <c r="UH80" s="620"/>
      <c r="UI80" s="620"/>
      <c r="UJ80" s="620"/>
      <c r="UK80" s="620"/>
      <c r="UL80" s="620"/>
      <c r="UM80" s="620"/>
      <c r="UN80" s="620"/>
      <c r="UO80" s="620"/>
      <c r="UP80" s="620"/>
      <c r="UQ80" s="620"/>
      <c r="UR80" s="620"/>
      <c r="US80" s="620"/>
      <c r="UT80" s="620"/>
      <c r="UU80" s="620"/>
      <c r="UV80" s="620"/>
      <c r="UW80" s="620"/>
      <c r="UX80" s="620"/>
      <c r="UY80" s="620"/>
      <c r="UZ80" s="620"/>
      <c r="VA80" s="620"/>
      <c r="VB80" s="620"/>
      <c r="VC80" s="620"/>
      <c r="VD80" s="620"/>
      <c r="VE80" s="620"/>
      <c r="VF80" s="620"/>
      <c r="VG80" s="620"/>
      <c r="VH80" s="620"/>
      <c r="VI80" s="620"/>
      <c r="VJ80" s="620"/>
      <c r="VK80" s="620"/>
      <c r="VL80" s="620"/>
      <c r="VM80" s="620"/>
      <c r="VN80" s="620"/>
      <c r="VO80" s="620"/>
      <c r="VP80" s="620"/>
      <c r="VQ80" s="620"/>
      <c r="VR80" s="620"/>
      <c r="VS80" s="620"/>
      <c r="VT80" s="620"/>
      <c r="VU80" s="620"/>
      <c r="VV80" s="620"/>
      <c r="VW80" s="620"/>
      <c r="VX80" s="620"/>
      <c r="VY80" s="620"/>
      <c r="VZ80" s="620"/>
      <c r="WA80" s="620"/>
      <c r="WB80" s="620"/>
      <c r="WC80" s="620"/>
      <c r="WD80" s="620"/>
      <c r="WE80" s="620"/>
      <c r="WF80" s="620"/>
      <c r="WG80" s="620"/>
      <c r="WH80" s="620"/>
      <c r="WI80" s="620"/>
      <c r="WJ80" s="620"/>
      <c r="WK80" s="620"/>
      <c r="WL80" s="620"/>
      <c r="WM80" s="620"/>
      <c r="WN80" s="620"/>
      <c r="WO80" s="620"/>
      <c r="WP80" s="620"/>
      <c r="WQ80" s="620"/>
      <c r="WR80" s="620"/>
      <c r="WS80" s="620"/>
      <c r="WT80" s="620"/>
      <c r="WU80" s="620"/>
      <c r="WV80" s="620"/>
      <c r="WW80" s="620"/>
      <c r="WX80" s="620"/>
      <c r="WY80" s="620"/>
      <c r="WZ80" s="620"/>
      <c r="XA80" s="620"/>
      <c r="XB80" s="620"/>
      <c r="XC80" s="620"/>
      <c r="XD80" s="620"/>
      <c r="XE80" s="620"/>
      <c r="XF80" s="620"/>
      <c r="XG80" s="620"/>
      <c r="XH80" s="620"/>
      <c r="XI80" s="620"/>
      <c r="XJ80" s="620"/>
      <c r="XK80" s="620"/>
      <c r="XL80" s="620"/>
      <c r="XM80" s="620"/>
      <c r="XN80" s="620"/>
      <c r="XO80" s="620"/>
      <c r="XP80" s="620"/>
      <c r="XQ80" s="620"/>
      <c r="XR80" s="620"/>
      <c r="XS80" s="620"/>
      <c r="XT80" s="620"/>
      <c r="XU80" s="620"/>
      <c r="XV80" s="620"/>
      <c r="XW80" s="620"/>
      <c r="XX80" s="620"/>
      <c r="XY80" s="620"/>
      <c r="XZ80" s="620"/>
      <c r="YA80" s="620"/>
      <c r="YB80" s="620"/>
      <c r="YC80" s="620"/>
      <c r="YD80" s="620"/>
      <c r="YE80" s="620"/>
      <c r="YF80" s="620"/>
      <c r="YG80" s="620"/>
      <c r="YH80" s="620"/>
      <c r="YI80" s="620"/>
      <c r="YJ80" s="620"/>
      <c r="YK80" s="620"/>
      <c r="YL80" s="620"/>
      <c r="YM80" s="620"/>
      <c r="YN80" s="620"/>
      <c r="YO80" s="620"/>
      <c r="YP80" s="620"/>
      <c r="YQ80" s="620"/>
      <c r="YR80" s="620"/>
      <c r="YS80" s="620"/>
      <c r="YT80" s="620"/>
      <c r="YU80" s="620"/>
      <c r="YV80" s="620"/>
      <c r="YW80" s="620"/>
      <c r="YX80" s="620"/>
      <c r="YY80" s="620"/>
      <c r="YZ80" s="620"/>
      <c r="ZA80" s="620"/>
      <c r="ZB80" s="620"/>
      <c r="ZC80" s="620"/>
      <c r="ZD80" s="620"/>
      <c r="ZE80" s="620"/>
      <c r="ZF80" s="620"/>
      <c r="ZG80" s="620"/>
      <c r="ZH80" s="620"/>
      <c r="ZI80" s="620"/>
      <c r="ZJ80" s="620"/>
      <c r="ZK80" s="620"/>
      <c r="ZL80" s="620"/>
      <c r="ZM80" s="620"/>
      <c r="ZN80" s="620"/>
      <c r="ZO80" s="620"/>
      <c r="ZP80" s="620"/>
      <c r="ZQ80" s="620"/>
      <c r="ZR80" s="620"/>
      <c r="ZS80" s="620"/>
      <c r="ZT80" s="620"/>
      <c r="ZU80" s="620"/>
      <c r="ZV80" s="620"/>
      <c r="ZW80" s="620"/>
      <c r="ZX80" s="620"/>
      <c r="ZY80" s="620"/>
      <c r="ZZ80" s="620"/>
      <c r="AAA80" s="620"/>
      <c r="AAB80" s="620"/>
      <c r="AAC80" s="620"/>
      <c r="AAD80" s="620"/>
      <c r="AAE80" s="620"/>
      <c r="AAF80" s="620"/>
      <c r="AAG80" s="620"/>
      <c r="AAH80" s="620"/>
      <c r="AAI80" s="620"/>
      <c r="AAJ80" s="620"/>
      <c r="AAK80" s="620"/>
      <c r="AAL80" s="620"/>
      <c r="AAM80" s="620"/>
      <c r="AAN80" s="620"/>
      <c r="AAO80" s="620"/>
      <c r="AAP80" s="620"/>
      <c r="AAQ80" s="620"/>
      <c r="AAR80" s="620"/>
      <c r="AAS80" s="620"/>
      <c r="AAT80" s="620"/>
      <c r="AAU80" s="620"/>
      <c r="AAV80" s="620"/>
      <c r="AAW80" s="620"/>
      <c r="AAX80" s="620"/>
      <c r="AAY80" s="620"/>
      <c r="AAZ80" s="620"/>
      <c r="ABA80" s="620"/>
      <c r="ABB80" s="620"/>
      <c r="ABC80" s="620"/>
      <c r="ABD80" s="620"/>
      <c r="ABE80" s="620"/>
      <c r="ABF80" s="620"/>
      <c r="ABG80" s="620"/>
      <c r="ABH80" s="620"/>
      <c r="ABI80" s="620"/>
      <c r="ABJ80" s="620"/>
      <c r="ABK80" s="620"/>
      <c r="ABL80" s="620"/>
      <c r="ABM80" s="620"/>
      <c r="ABN80" s="620"/>
      <c r="ABO80" s="620"/>
      <c r="ABP80" s="620"/>
      <c r="ABQ80" s="620"/>
      <c r="ABR80" s="620"/>
      <c r="ABS80" s="620"/>
      <c r="ABT80" s="620"/>
      <c r="ABU80" s="620"/>
      <c r="ABV80" s="620"/>
      <c r="ABW80" s="620"/>
      <c r="ABX80" s="620"/>
      <c r="ABY80" s="620"/>
      <c r="ABZ80" s="620"/>
      <c r="ACA80" s="620"/>
      <c r="ACB80" s="620"/>
      <c r="ACC80" s="620"/>
      <c r="ACD80" s="620"/>
      <c r="ACE80" s="620"/>
      <c r="ACF80" s="620"/>
      <c r="ACG80" s="620"/>
      <c r="ACH80" s="620"/>
      <c r="ACI80" s="620"/>
      <c r="ACJ80" s="620"/>
      <c r="ACK80" s="620"/>
      <c r="ACL80" s="620"/>
      <c r="ACM80" s="620"/>
      <c r="ACN80" s="620"/>
      <c r="ACO80" s="620"/>
      <c r="ACP80" s="620"/>
      <c r="ACQ80" s="620"/>
      <c r="ACR80" s="620"/>
      <c r="ACS80" s="620"/>
      <c r="ACT80" s="620"/>
      <c r="ACU80" s="620"/>
      <c r="ACV80" s="620"/>
      <c r="ACW80" s="620"/>
      <c r="ACX80" s="620"/>
      <c r="ACY80" s="620"/>
      <c r="ACZ80" s="620"/>
      <c r="ADA80" s="620"/>
      <c r="ADB80" s="620"/>
      <c r="ADC80" s="620"/>
      <c r="ADD80" s="620"/>
      <c r="ADE80" s="620"/>
      <c r="ADF80" s="620"/>
      <c r="ADG80" s="620"/>
      <c r="ADH80" s="620"/>
      <c r="ADI80" s="620"/>
      <c r="ADJ80" s="620"/>
      <c r="ADK80" s="620"/>
      <c r="ADL80" s="620"/>
      <c r="ADM80" s="620"/>
      <c r="ADN80" s="620"/>
      <c r="ADO80" s="620"/>
      <c r="ADP80" s="620"/>
      <c r="ADQ80" s="620"/>
      <c r="ADR80" s="620"/>
      <c r="ADS80" s="620"/>
      <c r="ADT80" s="620"/>
      <c r="ADU80" s="620"/>
      <c r="ADV80" s="620"/>
      <c r="ADW80" s="620"/>
      <c r="ADX80" s="620"/>
      <c r="ADY80" s="620"/>
      <c r="ADZ80" s="620"/>
      <c r="AEA80" s="620"/>
      <c r="AEB80" s="620"/>
      <c r="AEC80" s="620"/>
      <c r="AED80" s="620"/>
      <c r="AEE80" s="620"/>
      <c r="AEF80" s="620"/>
      <c r="AEG80" s="620"/>
      <c r="AEH80" s="620"/>
      <c r="AEI80" s="620"/>
      <c r="AEJ80" s="620"/>
      <c r="AEK80" s="620"/>
      <c r="AEL80" s="620"/>
      <c r="AEM80" s="620"/>
      <c r="AEN80" s="620"/>
      <c r="AEO80" s="620"/>
      <c r="AEP80" s="620"/>
      <c r="AEQ80" s="620"/>
      <c r="AER80" s="620"/>
      <c r="AES80" s="620"/>
      <c r="AET80" s="620"/>
      <c r="AEU80" s="620"/>
      <c r="AEV80" s="620"/>
      <c r="AEW80" s="620"/>
      <c r="AEX80" s="620"/>
      <c r="AEY80" s="620"/>
      <c r="AEZ80" s="620"/>
      <c r="AFA80" s="620"/>
      <c r="AFB80" s="620"/>
      <c r="AFC80" s="620"/>
      <c r="AFD80" s="620"/>
      <c r="AFE80" s="620"/>
      <c r="AFF80" s="620"/>
      <c r="AFG80" s="620"/>
      <c r="AFH80" s="620"/>
      <c r="AFI80" s="620"/>
      <c r="AFJ80" s="620"/>
      <c r="AFK80" s="620"/>
      <c r="AFL80" s="620"/>
      <c r="AFM80" s="620"/>
      <c r="AFN80" s="620"/>
      <c r="AFO80" s="620"/>
      <c r="AFP80" s="620"/>
      <c r="AFQ80" s="620"/>
      <c r="AFR80" s="620"/>
      <c r="AFS80" s="620"/>
      <c r="AFT80" s="620"/>
      <c r="AFU80" s="620"/>
      <c r="AFV80" s="620"/>
      <c r="AFW80" s="620"/>
      <c r="AFX80" s="620"/>
      <c r="AFY80" s="620"/>
      <c r="AFZ80" s="620"/>
      <c r="AGA80" s="620"/>
      <c r="AGB80" s="620"/>
      <c r="AGC80" s="620"/>
      <c r="AGD80" s="620"/>
      <c r="AGE80" s="620"/>
      <c r="AGF80" s="620"/>
      <c r="AGG80" s="620"/>
      <c r="AGH80" s="620"/>
      <c r="AGI80" s="620"/>
      <c r="AGJ80" s="620"/>
      <c r="AGK80" s="620"/>
      <c r="AGL80" s="620"/>
      <c r="AGM80" s="620"/>
      <c r="AGN80" s="620"/>
      <c r="AGO80" s="620"/>
      <c r="AGP80" s="620"/>
      <c r="AGQ80" s="620"/>
      <c r="AGR80" s="620"/>
      <c r="AGS80" s="620"/>
      <c r="AGT80" s="620"/>
      <c r="AGU80" s="620"/>
      <c r="AGV80" s="620"/>
      <c r="AGW80" s="620"/>
      <c r="AGX80" s="620"/>
      <c r="AGY80" s="620"/>
      <c r="AGZ80" s="620"/>
      <c r="AHA80" s="620"/>
      <c r="AHB80" s="620"/>
      <c r="AHC80" s="620"/>
      <c r="AHD80" s="620"/>
      <c r="AHE80" s="620"/>
      <c r="AHF80" s="620"/>
      <c r="AHG80" s="620"/>
      <c r="AHH80" s="620"/>
      <c r="AHI80" s="620"/>
      <c r="AHJ80" s="620"/>
      <c r="AHK80" s="620"/>
      <c r="AHL80" s="620"/>
      <c r="AHM80" s="620"/>
      <c r="AHN80" s="620"/>
      <c r="AHO80" s="620"/>
      <c r="AHP80" s="620"/>
      <c r="AHQ80" s="620"/>
      <c r="AHR80" s="620"/>
      <c r="AHS80" s="620"/>
      <c r="AHT80" s="620"/>
      <c r="AHU80" s="620"/>
      <c r="AHV80" s="620"/>
      <c r="AHW80" s="620"/>
      <c r="AHX80" s="620"/>
      <c r="AHY80" s="620"/>
      <c r="AHZ80" s="620"/>
      <c r="AIA80" s="620"/>
      <c r="AIB80" s="620"/>
      <c r="AIC80" s="620"/>
      <c r="AID80" s="620"/>
      <c r="AIE80" s="620"/>
      <c r="AIF80" s="620"/>
      <c r="AIG80" s="620"/>
      <c r="AIH80" s="620"/>
      <c r="AII80" s="620"/>
      <c r="AIJ80" s="620"/>
      <c r="AIK80" s="620"/>
      <c r="AIL80" s="620"/>
      <c r="AIM80" s="620"/>
      <c r="AIN80" s="620"/>
      <c r="AIO80" s="620"/>
      <c r="AIP80" s="620"/>
      <c r="AIQ80" s="620"/>
      <c r="AIR80" s="620"/>
      <c r="AIS80" s="620"/>
      <c r="AIT80" s="620"/>
      <c r="AIU80" s="620"/>
      <c r="AIV80" s="620"/>
      <c r="AIW80" s="620"/>
      <c r="AIX80" s="620"/>
      <c r="AIY80" s="620"/>
      <c r="AIZ80" s="620"/>
      <c r="AJA80" s="620"/>
      <c r="AJB80" s="620"/>
      <c r="AJC80" s="620"/>
      <c r="AJD80" s="620"/>
      <c r="AJE80" s="620"/>
      <c r="AJF80" s="620"/>
      <c r="AJG80" s="620"/>
      <c r="AJH80" s="620"/>
      <c r="AJI80" s="620"/>
      <c r="AJJ80" s="620"/>
      <c r="AJK80" s="620"/>
      <c r="AJL80" s="620"/>
      <c r="AJM80" s="620"/>
      <c r="AJN80" s="620"/>
      <c r="AJO80" s="620"/>
      <c r="AJP80" s="620"/>
      <c r="AJQ80" s="620"/>
      <c r="AJR80" s="620"/>
      <c r="AJS80" s="620"/>
      <c r="AJT80" s="620"/>
      <c r="AJU80" s="620"/>
      <c r="AJV80" s="620"/>
      <c r="AJW80" s="620"/>
      <c r="AJX80" s="620"/>
      <c r="AJY80" s="620"/>
      <c r="AJZ80" s="620"/>
      <c r="AKA80" s="620"/>
      <c r="AKB80" s="620"/>
      <c r="AKC80" s="620"/>
      <c r="AKD80" s="620"/>
      <c r="AKE80" s="620"/>
      <c r="AKF80" s="620"/>
      <c r="AKG80" s="620"/>
      <c r="AKH80" s="620"/>
      <c r="AKI80" s="620"/>
      <c r="AKJ80" s="620"/>
      <c r="AKK80" s="620"/>
      <c r="AKL80" s="620"/>
      <c r="AKM80" s="620"/>
      <c r="AKN80" s="620"/>
      <c r="AKO80" s="620"/>
      <c r="AKP80" s="620"/>
      <c r="AKQ80" s="620"/>
      <c r="AKR80" s="620"/>
      <c r="AKS80" s="620"/>
      <c r="AKT80" s="620"/>
      <c r="AKU80" s="620"/>
      <c r="AKV80" s="620"/>
      <c r="AKW80" s="620"/>
      <c r="AKX80" s="620"/>
      <c r="AKY80" s="620"/>
      <c r="AKZ80" s="620"/>
      <c r="ALA80" s="620"/>
      <c r="ALB80" s="620"/>
      <c r="ALC80" s="620"/>
      <c r="ALD80" s="620"/>
      <c r="ALE80" s="620"/>
      <c r="ALF80" s="620"/>
      <c r="ALG80" s="620"/>
      <c r="ALH80" s="620"/>
      <c r="ALI80" s="620"/>
      <c r="ALJ80" s="620"/>
      <c r="ALK80" s="620"/>
      <c r="ALL80" s="620"/>
      <c r="ALM80" s="620"/>
      <c r="ALN80" s="620"/>
      <c r="ALO80" s="620"/>
      <c r="ALP80" s="620"/>
      <c r="ALQ80" s="620"/>
      <c r="ALR80" s="620"/>
      <c r="ALS80" s="620"/>
      <c r="ALT80" s="620"/>
      <c r="ALU80" s="620"/>
      <c r="ALV80" s="620"/>
      <c r="ALW80" s="620"/>
      <c r="ALX80" s="620"/>
      <c r="ALY80" s="620"/>
      <c r="ALZ80" s="620"/>
    </row>
    <row r="81" spans="1:1018" s="224" customFormat="1" ht="13.5" customHeight="1">
      <c r="A81" s="225">
        <v>67</v>
      </c>
      <c r="B81" s="217"/>
      <c r="C81" s="241" t="s">
        <v>1226</v>
      </c>
      <c r="D81" s="217"/>
      <c r="E81" s="217"/>
      <c r="F81" s="217"/>
      <c r="G81" s="217"/>
      <c r="H81" s="575" t="s">
        <v>1227</v>
      </c>
      <c r="I81" s="611" t="s">
        <v>1228</v>
      </c>
      <c r="J81" s="575" t="s">
        <v>1229</v>
      </c>
      <c r="K81" s="611" t="s">
        <v>1230</v>
      </c>
      <c r="L81" s="575" t="s">
        <v>1231</v>
      </c>
      <c r="M81" s="621" t="s">
        <v>1232</v>
      </c>
      <c r="N81" s="621"/>
      <c r="O81" s="575"/>
      <c r="P81" s="612"/>
      <c r="Q81" s="575" t="s">
        <v>820</v>
      </c>
      <c r="R81" s="575"/>
      <c r="S81" s="575" t="s">
        <v>879</v>
      </c>
      <c r="T81" s="613"/>
      <c r="U81" s="575" t="s">
        <v>932</v>
      </c>
      <c r="V81" s="614"/>
      <c r="W81" s="614" t="s">
        <v>864</v>
      </c>
      <c r="X81" s="232"/>
      <c r="Y81" s="615"/>
      <c r="Z81" s="575" t="s">
        <v>1150</v>
      </c>
      <c r="AA81" s="616"/>
      <c r="AB81" s="575"/>
      <c r="AC81" s="613">
        <v>1</v>
      </c>
      <c r="AD81" s="613">
        <v>1</v>
      </c>
    </row>
    <row r="82" spans="1:1018" s="244" customFormat="1" ht="13.5" customHeight="1">
      <c r="A82" s="225">
        <v>68</v>
      </c>
      <c r="B82" s="217"/>
      <c r="C82" s="241" t="s">
        <v>1233</v>
      </c>
      <c r="D82" s="217"/>
      <c r="E82" s="221"/>
      <c r="F82" s="222"/>
      <c r="G82" s="222"/>
      <c r="H82" s="575" t="s">
        <v>1234</v>
      </c>
      <c r="I82" s="611" t="s">
        <v>1235</v>
      </c>
      <c r="J82" s="575"/>
      <c r="K82" s="611" t="s">
        <v>1236</v>
      </c>
      <c r="L82" s="575"/>
      <c r="M82" s="575"/>
      <c r="N82" s="575"/>
      <c r="O82" s="575"/>
      <c r="P82" s="612">
        <v>1</v>
      </c>
      <c r="Q82" s="575" t="s">
        <v>820</v>
      </c>
      <c r="R82" s="575"/>
      <c r="S82" s="575" t="s">
        <v>863</v>
      </c>
      <c r="T82" s="613"/>
      <c r="U82" s="575" t="s">
        <v>1237</v>
      </c>
      <c r="V82" s="614"/>
      <c r="W82" s="614" t="s">
        <v>864</v>
      </c>
      <c r="X82" s="232"/>
      <c r="Y82" s="615"/>
      <c r="Z82" s="575" t="s">
        <v>975</v>
      </c>
      <c r="AA82" s="616"/>
      <c r="AB82" s="575"/>
      <c r="AC82" s="613">
        <v>1</v>
      </c>
      <c r="AD82" s="613">
        <v>1</v>
      </c>
    </row>
    <row r="83" spans="1:1018" s="224" customFormat="1" ht="13.5" customHeight="1">
      <c r="A83" s="225">
        <v>69</v>
      </c>
      <c r="B83" s="217"/>
      <c r="C83" s="217" t="s">
        <v>1238</v>
      </c>
      <c r="D83" s="217"/>
      <c r="E83" s="217"/>
      <c r="F83" s="217"/>
      <c r="G83" s="217"/>
      <c r="H83" s="575" t="s">
        <v>1239</v>
      </c>
      <c r="I83" s="611" t="s">
        <v>1240</v>
      </c>
      <c r="J83" s="575" t="s">
        <v>1214</v>
      </c>
      <c r="K83" s="611" t="s">
        <v>939</v>
      </c>
      <c r="L83" s="575" t="s">
        <v>1241</v>
      </c>
      <c r="M83" s="575" t="s">
        <v>1242</v>
      </c>
      <c r="N83" s="575"/>
      <c r="O83" s="575"/>
      <c r="P83" s="612">
        <v>1</v>
      </c>
      <c r="Q83" s="575" t="s">
        <v>817</v>
      </c>
      <c r="R83" s="575"/>
      <c r="S83" s="575" t="s">
        <v>863</v>
      </c>
      <c r="T83" s="613"/>
      <c r="U83" s="575"/>
      <c r="V83" s="614"/>
      <c r="W83" s="614" t="s">
        <v>864</v>
      </c>
      <c r="X83" s="232"/>
      <c r="Y83" s="615"/>
      <c r="Z83" s="575"/>
      <c r="AA83" s="616"/>
      <c r="AB83" s="575"/>
      <c r="AC83" s="613">
        <v>1</v>
      </c>
      <c r="AD83" s="613">
        <v>1</v>
      </c>
    </row>
    <row r="84" spans="1:1018" s="224" customFormat="1" ht="13.5" customHeight="1">
      <c r="A84" s="225">
        <v>70</v>
      </c>
      <c r="B84" s="217"/>
      <c r="C84" s="241" t="s">
        <v>1243</v>
      </c>
      <c r="D84" s="217"/>
      <c r="E84" s="217"/>
      <c r="F84" s="217"/>
      <c r="G84" s="217"/>
      <c r="H84" s="575" t="s">
        <v>1244</v>
      </c>
      <c r="I84" s="611"/>
      <c r="J84" s="575" t="s">
        <v>1245</v>
      </c>
      <c r="K84" s="611"/>
      <c r="L84" s="575"/>
      <c r="M84" s="575"/>
      <c r="N84" s="575"/>
      <c r="O84" s="575"/>
      <c r="P84" s="612"/>
      <c r="Q84" s="575" t="s">
        <v>820</v>
      </c>
      <c r="R84" s="575" t="s">
        <v>864</v>
      </c>
      <c r="S84" s="243" t="s">
        <v>1245</v>
      </c>
      <c r="T84" s="613"/>
      <c r="U84" s="575"/>
      <c r="V84" s="614" t="s">
        <v>864</v>
      </c>
      <c r="W84" s="614" t="s">
        <v>864</v>
      </c>
      <c r="X84" s="232"/>
      <c r="Y84" s="615"/>
      <c r="Z84" s="575"/>
      <c r="AA84" s="616"/>
      <c r="AB84" s="575"/>
      <c r="AC84" s="613"/>
      <c r="AD84" s="613">
        <v>1</v>
      </c>
    </row>
    <row r="85" spans="1:1018" s="224" customFormat="1" ht="13.5" customHeight="1">
      <c r="A85" s="225">
        <v>71</v>
      </c>
      <c r="B85" s="217"/>
      <c r="C85" s="610"/>
      <c r="D85" s="610" t="s">
        <v>1246</v>
      </c>
      <c r="E85" s="219"/>
      <c r="F85" s="610"/>
      <c r="G85" s="610"/>
      <c r="H85" s="575" t="s">
        <v>1247</v>
      </c>
      <c r="I85" s="611"/>
      <c r="J85" s="575" t="s">
        <v>1248</v>
      </c>
      <c r="K85" s="611" t="s">
        <v>1249</v>
      </c>
      <c r="L85" s="575" t="s">
        <v>1250</v>
      </c>
      <c r="M85" s="575" t="s">
        <v>262</v>
      </c>
      <c r="N85" s="575"/>
      <c r="O85" s="575"/>
      <c r="P85" s="612">
        <v>1</v>
      </c>
      <c r="Q85" s="575" t="s">
        <v>817</v>
      </c>
      <c r="R85" s="575" t="s">
        <v>864</v>
      </c>
      <c r="S85" s="243" t="s">
        <v>1251</v>
      </c>
      <c r="T85" s="613"/>
      <c r="U85" s="575"/>
      <c r="V85" s="614"/>
      <c r="W85" s="614" t="s">
        <v>864</v>
      </c>
      <c r="X85" s="232"/>
      <c r="Y85" s="615"/>
      <c r="Z85" s="575"/>
      <c r="AA85" s="245" t="s">
        <v>1252</v>
      </c>
      <c r="AB85" s="575"/>
      <c r="AC85" s="613"/>
      <c r="AD85" s="613">
        <v>1</v>
      </c>
    </row>
    <row r="86" spans="1:1018" s="224" customFormat="1" ht="13.5" customHeight="1">
      <c r="A86" s="225">
        <v>72</v>
      </c>
      <c r="B86" s="217"/>
      <c r="C86" s="610"/>
      <c r="D86" s="241"/>
      <c r="E86" s="241" t="s">
        <v>1253</v>
      </c>
      <c r="F86" s="241"/>
      <c r="G86" s="241"/>
      <c r="H86" s="575" t="s">
        <v>1254</v>
      </c>
      <c r="I86" s="611" t="s">
        <v>1255</v>
      </c>
      <c r="J86" s="575"/>
      <c r="K86" s="611" t="s">
        <v>958</v>
      </c>
      <c r="L86" s="575"/>
      <c r="M86" s="575"/>
      <c r="N86" s="575"/>
      <c r="O86" s="575"/>
      <c r="P86" s="612"/>
      <c r="Q86" s="575" t="s">
        <v>820</v>
      </c>
      <c r="R86" s="575"/>
      <c r="S86" s="575" t="s">
        <v>863</v>
      </c>
      <c r="T86" s="613"/>
      <c r="U86" s="575" t="s">
        <v>1256</v>
      </c>
      <c r="V86" s="614" t="s">
        <v>864</v>
      </c>
      <c r="W86" s="614" t="s">
        <v>864</v>
      </c>
      <c r="X86" s="232"/>
      <c r="Y86" s="615"/>
      <c r="Z86" s="391" t="s">
        <v>1257</v>
      </c>
      <c r="AA86" s="616"/>
      <c r="AB86" s="575"/>
      <c r="AC86" s="613"/>
      <c r="AD86" s="613">
        <v>1</v>
      </c>
    </row>
    <row r="87" spans="1:1018" s="128" customFormat="1" ht="12" customHeight="1">
      <c r="A87" s="225">
        <v>73</v>
      </c>
      <c r="C87" s="224"/>
      <c r="D87" s="224"/>
      <c r="E87" s="224" t="s">
        <v>1258</v>
      </c>
      <c r="F87" s="224"/>
      <c r="G87" s="225"/>
      <c r="H87" s="225" t="s">
        <v>1259</v>
      </c>
      <c r="I87" s="273" t="s">
        <v>1260</v>
      </c>
      <c r="J87" s="225"/>
      <c r="K87" s="611" t="s">
        <v>1107</v>
      </c>
      <c r="L87" s="575"/>
      <c r="M87" s="575"/>
      <c r="N87" s="575"/>
      <c r="O87" s="575"/>
      <c r="P87" s="612"/>
      <c r="Q87" s="575" t="s">
        <v>820</v>
      </c>
      <c r="R87" s="575"/>
      <c r="S87" s="575" t="s">
        <v>863</v>
      </c>
      <c r="T87" s="278"/>
      <c r="U87" s="575"/>
      <c r="V87" s="274" t="s">
        <v>864</v>
      </c>
      <c r="W87" s="274" t="s">
        <v>864</v>
      </c>
      <c r="X87" s="232"/>
      <c r="Y87" s="179"/>
      <c r="Z87" s="96"/>
      <c r="AA87" s="159"/>
      <c r="AB87" s="96"/>
      <c r="AC87"/>
      <c r="AD87" s="274">
        <v>1</v>
      </c>
      <c r="AF87"/>
      <c r="AMA87"/>
      <c r="AMB87"/>
      <c r="AMC87"/>
      <c r="AMD87"/>
    </row>
    <row r="88" spans="1:1018" s="224" customFormat="1" ht="13.5" customHeight="1">
      <c r="A88" s="225">
        <v>74</v>
      </c>
      <c r="B88" s="217"/>
      <c r="C88" s="610"/>
      <c r="D88" s="610" t="s">
        <v>1261</v>
      </c>
      <c r="E88" s="219" t="s">
        <v>1262</v>
      </c>
      <c r="F88" s="610"/>
      <c r="G88" s="610"/>
      <c r="H88" s="575" t="s">
        <v>1263</v>
      </c>
      <c r="I88" s="611"/>
      <c r="J88" s="575"/>
      <c r="K88" s="611" t="s">
        <v>1264</v>
      </c>
      <c r="L88" s="575" t="s">
        <v>1265</v>
      </c>
      <c r="M88" s="575" t="s">
        <v>1266</v>
      </c>
      <c r="N88" s="575"/>
      <c r="O88" s="575"/>
      <c r="P88" s="612">
        <v>1</v>
      </c>
      <c r="Q88" s="575" t="s">
        <v>817</v>
      </c>
      <c r="R88" s="575" t="s">
        <v>864</v>
      </c>
      <c r="S88" s="243" t="s">
        <v>1251</v>
      </c>
      <c r="T88" s="613"/>
      <c r="U88" s="575"/>
      <c r="V88" s="614" t="s">
        <v>864</v>
      </c>
      <c r="W88" s="614" t="s">
        <v>864</v>
      </c>
      <c r="X88" s="232"/>
      <c r="Y88" s="615"/>
      <c r="Z88" s="575"/>
      <c r="AA88" s="245" t="s">
        <v>1252</v>
      </c>
      <c r="AB88" s="575"/>
      <c r="AC88" s="613"/>
      <c r="AD88" s="613">
        <v>1</v>
      </c>
    </row>
    <row r="89" spans="1:1018" s="224" customFormat="1" ht="13.5" customHeight="1">
      <c r="A89" s="225">
        <v>75</v>
      </c>
      <c r="B89" s="217"/>
      <c r="C89" s="610"/>
      <c r="D89" s="610" t="s">
        <v>1267</v>
      </c>
      <c r="E89" s="610"/>
      <c r="F89" s="610"/>
      <c r="G89" s="610"/>
      <c r="H89" s="575" t="s">
        <v>1268</v>
      </c>
      <c r="I89" s="611" t="s">
        <v>1269</v>
      </c>
      <c r="J89" s="575" t="s">
        <v>1270</v>
      </c>
      <c r="K89" s="611" t="s">
        <v>1271</v>
      </c>
      <c r="L89" s="575"/>
      <c r="M89" s="575"/>
      <c r="N89" s="575"/>
      <c r="O89" s="575"/>
      <c r="P89" s="612"/>
      <c r="Q89" s="575" t="s">
        <v>817</v>
      </c>
      <c r="R89" s="575"/>
      <c r="S89" s="575" t="s">
        <v>863</v>
      </c>
      <c r="T89" s="613"/>
      <c r="U89" s="575" t="s">
        <v>1209</v>
      </c>
      <c r="V89" s="614"/>
      <c r="W89" s="614" t="s">
        <v>864</v>
      </c>
      <c r="X89" s="232"/>
      <c r="Y89" s="615"/>
      <c r="Z89" s="575"/>
      <c r="AA89" s="245" t="s">
        <v>1272</v>
      </c>
      <c r="AB89" s="575"/>
      <c r="AC89" s="613"/>
      <c r="AD89" s="613">
        <v>1</v>
      </c>
      <c r="AF89" s="246"/>
    </row>
    <row r="90" spans="1:1018" s="550" customFormat="1" ht="13.5" customHeight="1">
      <c r="A90" s="575">
        <v>76</v>
      </c>
      <c r="B90" s="610"/>
      <c r="C90" s="610"/>
      <c r="D90" s="610" t="s">
        <v>1273</v>
      </c>
      <c r="E90" s="610"/>
      <c r="F90" s="610"/>
      <c r="G90" s="610"/>
      <c r="H90" s="575" t="s">
        <v>1274</v>
      </c>
      <c r="I90" s="611" t="s">
        <v>1275</v>
      </c>
      <c r="J90" s="575"/>
      <c r="K90" s="611" t="s">
        <v>958</v>
      </c>
      <c r="L90" s="575"/>
      <c r="M90" s="575"/>
      <c r="N90" s="575"/>
      <c r="O90" s="575"/>
      <c r="P90" s="612"/>
      <c r="Q90" s="575" t="s">
        <v>817</v>
      </c>
      <c r="R90" s="575"/>
      <c r="S90" s="575" t="s">
        <v>863</v>
      </c>
      <c r="T90" s="613"/>
      <c r="U90" s="575"/>
      <c r="V90" s="614" t="s">
        <v>864</v>
      </c>
      <c r="W90" s="614" t="s">
        <v>864</v>
      </c>
      <c r="X90" s="617"/>
      <c r="Y90" s="615" t="s">
        <v>1276</v>
      </c>
      <c r="Z90" s="575" t="s">
        <v>1277</v>
      </c>
      <c r="AA90" s="616" t="s">
        <v>1278</v>
      </c>
      <c r="AB90" s="575"/>
      <c r="AC90" s="613"/>
      <c r="AD90" s="613">
        <v>1</v>
      </c>
      <c r="AE90" s="620"/>
      <c r="AF90" s="568"/>
      <c r="AG90" s="620"/>
      <c r="AH90" s="620"/>
      <c r="AI90" s="620"/>
      <c r="AJ90" s="620"/>
      <c r="AK90" s="620"/>
      <c r="AL90" s="620"/>
      <c r="AM90" s="620"/>
      <c r="AN90" s="620"/>
      <c r="AO90" s="620"/>
      <c r="AP90" s="620"/>
      <c r="AQ90" s="620"/>
      <c r="AR90" s="620"/>
      <c r="AS90" s="620"/>
      <c r="AT90" s="620"/>
      <c r="AU90" s="620"/>
      <c r="AV90" s="620"/>
      <c r="AW90" s="620"/>
      <c r="AX90" s="620"/>
      <c r="AY90" s="620"/>
      <c r="AZ90" s="620"/>
      <c r="BA90" s="620"/>
      <c r="BB90" s="620"/>
      <c r="BC90" s="620"/>
      <c r="BD90" s="620"/>
      <c r="BE90" s="620"/>
      <c r="BF90" s="620"/>
      <c r="BG90" s="620"/>
      <c r="BH90" s="620"/>
      <c r="BI90" s="620"/>
      <c r="BJ90" s="620"/>
      <c r="BK90" s="620"/>
      <c r="BL90" s="620"/>
      <c r="BM90" s="620"/>
      <c r="BN90" s="620"/>
      <c r="BO90" s="620"/>
      <c r="BP90" s="620"/>
      <c r="BQ90" s="620"/>
      <c r="BR90" s="620"/>
      <c r="BS90" s="620"/>
      <c r="BT90" s="620"/>
      <c r="BU90" s="620"/>
      <c r="BV90" s="620"/>
      <c r="BW90" s="620"/>
      <c r="BX90" s="620"/>
      <c r="BY90" s="620"/>
      <c r="BZ90" s="620"/>
      <c r="CA90" s="620"/>
      <c r="CB90" s="620"/>
      <c r="CC90" s="620"/>
      <c r="CD90" s="620"/>
      <c r="CE90" s="620"/>
      <c r="CF90" s="620"/>
      <c r="CG90" s="620"/>
      <c r="CH90" s="620"/>
      <c r="CI90" s="620"/>
      <c r="CJ90" s="620"/>
      <c r="CK90" s="620"/>
      <c r="CL90" s="620"/>
      <c r="CM90" s="620"/>
      <c r="CN90" s="620"/>
      <c r="CO90" s="620"/>
      <c r="CP90" s="620"/>
      <c r="CQ90" s="620"/>
      <c r="CR90" s="620"/>
      <c r="CS90" s="620"/>
      <c r="CT90" s="620"/>
      <c r="CU90" s="620"/>
      <c r="CV90" s="620"/>
      <c r="CW90" s="620"/>
      <c r="CX90" s="620"/>
      <c r="CY90" s="620"/>
      <c r="CZ90" s="620"/>
      <c r="DA90" s="620"/>
      <c r="DB90" s="620"/>
      <c r="DC90" s="620"/>
      <c r="DD90" s="620"/>
      <c r="DE90" s="620"/>
      <c r="DF90" s="620"/>
      <c r="DG90" s="620"/>
      <c r="DH90" s="620"/>
      <c r="DI90" s="620"/>
      <c r="DJ90" s="620"/>
      <c r="DK90" s="620"/>
      <c r="DL90" s="620"/>
      <c r="DM90" s="620"/>
      <c r="DN90" s="620"/>
      <c r="DO90" s="620"/>
      <c r="DP90" s="620"/>
      <c r="DQ90" s="620"/>
      <c r="DR90" s="620"/>
      <c r="DS90" s="620"/>
      <c r="DT90" s="620"/>
      <c r="DU90" s="620"/>
      <c r="DV90" s="620"/>
      <c r="DW90" s="620"/>
      <c r="DX90" s="620"/>
      <c r="DY90" s="620"/>
      <c r="DZ90" s="620"/>
      <c r="EA90" s="620"/>
      <c r="EB90" s="620"/>
      <c r="EC90" s="620"/>
      <c r="ED90" s="620"/>
      <c r="EE90" s="620"/>
      <c r="EF90" s="620"/>
      <c r="EG90" s="620"/>
      <c r="EH90" s="620"/>
      <c r="EI90" s="620"/>
      <c r="EJ90" s="620"/>
      <c r="EK90" s="620"/>
      <c r="EL90" s="620"/>
      <c r="EM90" s="620"/>
      <c r="EN90" s="620"/>
      <c r="EO90" s="620"/>
      <c r="EP90" s="620"/>
      <c r="EQ90" s="620"/>
      <c r="ER90" s="620"/>
      <c r="ES90" s="620"/>
      <c r="ET90" s="620"/>
      <c r="EU90" s="620"/>
      <c r="EV90" s="620"/>
      <c r="EW90" s="620"/>
      <c r="EX90" s="620"/>
      <c r="EY90" s="620"/>
      <c r="EZ90" s="620"/>
      <c r="FA90" s="620"/>
      <c r="FB90" s="620"/>
      <c r="FC90" s="620"/>
      <c r="FD90" s="620"/>
      <c r="FE90" s="620"/>
      <c r="FF90" s="620"/>
      <c r="FG90" s="620"/>
      <c r="FH90" s="620"/>
      <c r="FI90" s="620"/>
      <c r="FJ90" s="620"/>
      <c r="FK90" s="620"/>
      <c r="FL90" s="620"/>
      <c r="FM90" s="620"/>
      <c r="FN90" s="620"/>
      <c r="FO90" s="620"/>
      <c r="FP90" s="620"/>
      <c r="FQ90" s="620"/>
      <c r="FR90" s="620"/>
      <c r="FS90" s="620"/>
      <c r="FT90" s="620"/>
      <c r="FU90" s="620"/>
      <c r="FV90" s="620"/>
      <c r="FW90" s="620"/>
      <c r="FX90" s="620"/>
      <c r="FY90" s="620"/>
      <c r="FZ90" s="620"/>
      <c r="GA90" s="620"/>
      <c r="GB90" s="620"/>
      <c r="GC90" s="620"/>
      <c r="GD90" s="620"/>
      <c r="GE90" s="620"/>
      <c r="GF90" s="620"/>
      <c r="GG90" s="620"/>
      <c r="GH90" s="620"/>
      <c r="GI90" s="620"/>
      <c r="GJ90" s="620"/>
      <c r="GK90" s="620"/>
      <c r="GL90" s="620"/>
      <c r="GM90" s="620"/>
      <c r="GN90" s="620"/>
      <c r="GO90" s="620"/>
      <c r="GP90" s="620"/>
      <c r="GQ90" s="620"/>
      <c r="GR90" s="620"/>
      <c r="GS90" s="620"/>
      <c r="GT90" s="620"/>
      <c r="GU90" s="620"/>
      <c r="GV90" s="620"/>
      <c r="GW90" s="620"/>
      <c r="GX90" s="620"/>
      <c r="GY90" s="620"/>
      <c r="GZ90" s="620"/>
      <c r="HA90" s="620"/>
      <c r="HB90" s="620"/>
      <c r="HC90" s="620"/>
      <c r="HD90" s="620"/>
      <c r="HE90" s="620"/>
      <c r="HF90" s="620"/>
      <c r="HG90" s="620"/>
      <c r="HH90" s="620"/>
      <c r="HI90" s="620"/>
      <c r="HJ90" s="620"/>
      <c r="HK90" s="620"/>
      <c r="HL90" s="620"/>
      <c r="HM90" s="620"/>
      <c r="HN90" s="620"/>
      <c r="HO90" s="620"/>
      <c r="HP90" s="620"/>
      <c r="HQ90" s="620"/>
      <c r="HR90" s="620"/>
      <c r="HS90" s="620"/>
      <c r="HT90" s="620"/>
      <c r="HU90" s="620"/>
      <c r="HV90" s="620"/>
      <c r="HW90" s="620"/>
      <c r="HX90" s="620"/>
      <c r="HY90" s="620"/>
      <c r="HZ90" s="620"/>
      <c r="IA90" s="620"/>
      <c r="IB90" s="620"/>
      <c r="IC90" s="620"/>
      <c r="ID90" s="620"/>
      <c r="IE90" s="620"/>
      <c r="IF90" s="620"/>
      <c r="IG90" s="620"/>
      <c r="IH90" s="620"/>
      <c r="II90" s="620"/>
      <c r="IJ90" s="620"/>
      <c r="IK90" s="620"/>
      <c r="IL90" s="620"/>
      <c r="IM90" s="620"/>
      <c r="IN90" s="620"/>
      <c r="IO90" s="620"/>
      <c r="IP90" s="620"/>
      <c r="IQ90" s="620"/>
      <c r="IR90" s="620"/>
      <c r="IS90" s="620"/>
      <c r="IT90" s="620"/>
      <c r="IU90" s="620"/>
      <c r="IV90" s="620"/>
      <c r="IW90" s="620"/>
      <c r="IX90" s="620"/>
      <c r="IY90" s="620"/>
      <c r="IZ90" s="620"/>
      <c r="JA90" s="620"/>
      <c r="JB90" s="620"/>
      <c r="JC90" s="620"/>
      <c r="JD90" s="620"/>
      <c r="JE90" s="620"/>
      <c r="JF90" s="620"/>
      <c r="JG90" s="620"/>
      <c r="JH90" s="620"/>
      <c r="JI90" s="620"/>
      <c r="JJ90" s="620"/>
      <c r="JK90" s="620"/>
      <c r="JL90" s="620"/>
      <c r="JM90" s="620"/>
      <c r="JN90" s="620"/>
      <c r="JO90" s="620"/>
      <c r="JP90" s="620"/>
      <c r="JQ90" s="620"/>
      <c r="JR90" s="620"/>
      <c r="JS90" s="620"/>
      <c r="JT90" s="620"/>
      <c r="JU90" s="620"/>
      <c r="JV90" s="620"/>
      <c r="JW90" s="620"/>
      <c r="JX90" s="620"/>
      <c r="JY90" s="620"/>
      <c r="JZ90" s="620"/>
      <c r="KA90" s="620"/>
      <c r="KB90" s="620"/>
      <c r="KC90" s="620"/>
      <c r="KD90" s="620"/>
      <c r="KE90" s="620"/>
      <c r="KF90" s="620"/>
      <c r="KG90" s="620"/>
      <c r="KH90" s="620"/>
      <c r="KI90" s="620"/>
      <c r="KJ90" s="620"/>
      <c r="KK90" s="620"/>
      <c r="KL90" s="620"/>
      <c r="KM90" s="620"/>
      <c r="KN90" s="620"/>
      <c r="KO90" s="620"/>
      <c r="KP90" s="620"/>
      <c r="KQ90" s="620"/>
      <c r="KR90" s="620"/>
      <c r="KS90" s="620"/>
      <c r="KT90" s="620"/>
      <c r="KU90" s="620"/>
      <c r="KV90" s="620"/>
      <c r="KW90" s="620"/>
      <c r="KX90" s="620"/>
      <c r="KY90" s="620"/>
      <c r="KZ90" s="620"/>
      <c r="LA90" s="620"/>
      <c r="LB90" s="620"/>
      <c r="LC90" s="620"/>
      <c r="LD90" s="620"/>
      <c r="LE90" s="620"/>
      <c r="LF90" s="620"/>
      <c r="LG90" s="620"/>
      <c r="LH90" s="620"/>
      <c r="LI90" s="620"/>
      <c r="LJ90" s="620"/>
      <c r="LK90" s="620"/>
      <c r="LL90" s="620"/>
      <c r="LM90" s="620"/>
      <c r="LN90" s="620"/>
      <c r="LO90" s="620"/>
      <c r="LP90" s="620"/>
      <c r="LQ90" s="620"/>
      <c r="LR90" s="620"/>
      <c r="LS90" s="620"/>
      <c r="LT90" s="620"/>
      <c r="LU90" s="620"/>
      <c r="LV90" s="620"/>
      <c r="LW90" s="620"/>
      <c r="LX90" s="620"/>
      <c r="LY90" s="620"/>
      <c r="LZ90" s="620"/>
      <c r="MA90" s="620"/>
      <c r="MB90" s="620"/>
      <c r="MC90" s="620"/>
      <c r="MD90" s="620"/>
      <c r="ME90" s="620"/>
      <c r="MF90" s="620"/>
      <c r="MG90" s="620"/>
      <c r="MH90" s="620"/>
      <c r="MI90" s="620"/>
      <c r="MJ90" s="620"/>
      <c r="MK90" s="620"/>
      <c r="ML90" s="620"/>
      <c r="MM90" s="620"/>
      <c r="MN90" s="620"/>
      <c r="MO90" s="620"/>
      <c r="MP90" s="620"/>
      <c r="MQ90" s="620"/>
      <c r="MR90" s="620"/>
      <c r="MS90" s="620"/>
      <c r="MT90" s="620"/>
      <c r="MU90" s="620"/>
      <c r="MV90" s="620"/>
      <c r="MW90" s="620"/>
      <c r="MX90" s="620"/>
      <c r="MY90" s="620"/>
      <c r="MZ90" s="620"/>
      <c r="NA90" s="620"/>
      <c r="NB90" s="620"/>
      <c r="NC90" s="620"/>
      <c r="ND90" s="620"/>
      <c r="NE90" s="620"/>
      <c r="NF90" s="620"/>
      <c r="NG90" s="620"/>
      <c r="NH90" s="620"/>
      <c r="NI90" s="620"/>
      <c r="NJ90" s="620"/>
      <c r="NK90" s="620"/>
      <c r="NL90" s="620"/>
      <c r="NM90" s="620"/>
      <c r="NN90" s="620"/>
      <c r="NO90" s="620"/>
      <c r="NP90" s="620"/>
      <c r="NQ90" s="620"/>
      <c r="NR90" s="620"/>
      <c r="NS90" s="620"/>
      <c r="NT90" s="620"/>
      <c r="NU90" s="620"/>
      <c r="NV90" s="620"/>
      <c r="NW90" s="620"/>
      <c r="NX90" s="620"/>
      <c r="NY90" s="620"/>
      <c r="NZ90" s="620"/>
      <c r="OA90" s="620"/>
      <c r="OB90" s="620"/>
      <c r="OC90" s="620"/>
      <c r="OD90" s="620"/>
      <c r="OE90" s="620"/>
      <c r="OF90" s="620"/>
      <c r="OG90" s="620"/>
      <c r="OH90" s="620"/>
      <c r="OI90" s="620"/>
      <c r="OJ90" s="620"/>
      <c r="OK90" s="620"/>
      <c r="OL90" s="620"/>
      <c r="OM90" s="620"/>
      <c r="ON90" s="620"/>
      <c r="OO90" s="620"/>
      <c r="OP90" s="620"/>
      <c r="OQ90" s="620"/>
      <c r="OR90" s="620"/>
      <c r="OS90" s="620"/>
      <c r="OT90" s="620"/>
      <c r="OU90" s="620"/>
      <c r="OV90" s="620"/>
      <c r="OW90" s="620"/>
      <c r="OX90" s="620"/>
      <c r="OY90" s="620"/>
      <c r="OZ90" s="620"/>
      <c r="PA90" s="620"/>
      <c r="PB90" s="620"/>
      <c r="PC90" s="620"/>
      <c r="PD90" s="620"/>
      <c r="PE90" s="620"/>
      <c r="PF90" s="620"/>
      <c r="PG90" s="620"/>
      <c r="PH90" s="620"/>
      <c r="PI90" s="620"/>
      <c r="PJ90" s="620"/>
      <c r="PK90" s="620"/>
      <c r="PL90" s="620"/>
      <c r="PM90" s="620"/>
      <c r="PN90" s="620"/>
      <c r="PO90" s="620"/>
      <c r="PP90" s="620"/>
      <c r="PQ90" s="620"/>
      <c r="PR90" s="620"/>
      <c r="PS90" s="620"/>
      <c r="PT90" s="620"/>
      <c r="PU90" s="620"/>
      <c r="PV90" s="620"/>
      <c r="PW90" s="620"/>
      <c r="PX90" s="620"/>
      <c r="PY90" s="620"/>
      <c r="PZ90" s="620"/>
      <c r="QA90" s="620"/>
      <c r="QB90" s="620"/>
      <c r="QC90" s="620"/>
      <c r="QD90" s="620"/>
      <c r="QE90" s="620"/>
      <c r="QF90" s="620"/>
      <c r="QG90" s="620"/>
      <c r="QH90" s="620"/>
      <c r="QI90" s="620"/>
      <c r="QJ90" s="620"/>
      <c r="QK90" s="620"/>
      <c r="QL90" s="620"/>
      <c r="QM90" s="620"/>
      <c r="QN90" s="620"/>
      <c r="QO90" s="620"/>
      <c r="QP90" s="620"/>
      <c r="QQ90" s="620"/>
      <c r="QR90" s="620"/>
      <c r="QS90" s="620"/>
      <c r="QT90" s="620"/>
      <c r="QU90" s="620"/>
      <c r="QV90" s="620"/>
      <c r="QW90" s="620"/>
      <c r="QX90" s="620"/>
      <c r="QY90" s="620"/>
      <c r="QZ90" s="620"/>
      <c r="RA90" s="620"/>
      <c r="RB90" s="620"/>
      <c r="RC90" s="620"/>
      <c r="RD90" s="620"/>
      <c r="RE90" s="620"/>
      <c r="RF90" s="620"/>
      <c r="RG90" s="620"/>
      <c r="RH90" s="620"/>
      <c r="RI90" s="620"/>
      <c r="RJ90" s="620"/>
      <c r="RK90" s="620"/>
      <c r="RL90" s="620"/>
      <c r="RM90" s="620"/>
      <c r="RN90" s="620"/>
      <c r="RO90" s="620"/>
      <c r="RP90" s="620"/>
      <c r="RQ90" s="620"/>
      <c r="RR90" s="620"/>
      <c r="RS90" s="620"/>
      <c r="RT90" s="620"/>
      <c r="RU90" s="620"/>
      <c r="RV90" s="620"/>
      <c r="RW90" s="620"/>
      <c r="RX90" s="620"/>
      <c r="RY90" s="620"/>
      <c r="RZ90" s="620"/>
      <c r="SA90" s="620"/>
      <c r="SB90" s="620"/>
      <c r="SC90" s="620"/>
      <c r="SD90" s="620"/>
      <c r="SE90" s="620"/>
      <c r="SF90" s="620"/>
      <c r="SG90" s="620"/>
      <c r="SH90" s="620"/>
      <c r="SI90" s="620"/>
      <c r="SJ90" s="620"/>
      <c r="SK90" s="620"/>
      <c r="SL90" s="620"/>
      <c r="SM90" s="620"/>
      <c r="SN90" s="620"/>
      <c r="SO90" s="620"/>
      <c r="SP90" s="620"/>
      <c r="SQ90" s="620"/>
      <c r="SR90" s="620"/>
      <c r="SS90" s="620"/>
      <c r="ST90" s="620"/>
      <c r="SU90" s="620"/>
      <c r="SV90" s="620"/>
      <c r="SW90" s="620"/>
      <c r="SX90" s="620"/>
      <c r="SY90" s="620"/>
      <c r="SZ90" s="620"/>
      <c r="TA90" s="620"/>
      <c r="TB90" s="620"/>
      <c r="TC90" s="620"/>
      <c r="TD90" s="620"/>
      <c r="TE90" s="620"/>
      <c r="TF90" s="620"/>
      <c r="TG90" s="620"/>
      <c r="TH90" s="620"/>
      <c r="TI90" s="620"/>
      <c r="TJ90" s="620"/>
      <c r="TK90" s="620"/>
      <c r="TL90" s="620"/>
      <c r="TM90" s="620"/>
      <c r="TN90" s="620"/>
      <c r="TO90" s="620"/>
      <c r="TP90" s="620"/>
      <c r="TQ90" s="620"/>
      <c r="TR90" s="620"/>
      <c r="TS90" s="620"/>
      <c r="TT90" s="620"/>
      <c r="TU90" s="620"/>
      <c r="TV90" s="620"/>
      <c r="TW90" s="620"/>
      <c r="TX90" s="620"/>
      <c r="TY90" s="620"/>
      <c r="TZ90" s="620"/>
      <c r="UA90" s="620"/>
      <c r="UB90" s="620"/>
      <c r="UC90" s="620"/>
      <c r="UD90" s="620"/>
      <c r="UE90" s="620"/>
      <c r="UF90" s="620"/>
      <c r="UG90" s="620"/>
      <c r="UH90" s="620"/>
      <c r="UI90" s="620"/>
      <c r="UJ90" s="620"/>
      <c r="UK90" s="620"/>
      <c r="UL90" s="620"/>
      <c r="UM90" s="620"/>
      <c r="UN90" s="620"/>
      <c r="UO90" s="620"/>
      <c r="UP90" s="620"/>
      <c r="UQ90" s="620"/>
      <c r="UR90" s="620"/>
      <c r="US90" s="620"/>
      <c r="UT90" s="620"/>
      <c r="UU90" s="620"/>
      <c r="UV90" s="620"/>
      <c r="UW90" s="620"/>
      <c r="UX90" s="620"/>
      <c r="UY90" s="620"/>
      <c r="UZ90" s="620"/>
      <c r="VA90" s="620"/>
      <c r="VB90" s="620"/>
      <c r="VC90" s="620"/>
      <c r="VD90" s="620"/>
      <c r="VE90" s="620"/>
      <c r="VF90" s="620"/>
      <c r="VG90" s="620"/>
      <c r="VH90" s="620"/>
      <c r="VI90" s="620"/>
      <c r="VJ90" s="620"/>
      <c r="VK90" s="620"/>
      <c r="VL90" s="620"/>
      <c r="VM90" s="620"/>
      <c r="VN90" s="620"/>
      <c r="VO90" s="620"/>
      <c r="VP90" s="620"/>
      <c r="VQ90" s="620"/>
      <c r="VR90" s="620"/>
      <c r="VS90" s="620"/>
      <c r="VT90" s="620"/>
      <c r="VU90" s="620"/>
      <c r="VV90" s="620"/>
      <c r="VW90" s="620"/>
      <c r="VX90" s="620"/>
      <c r="VY90" s="620"/>
      <c r="VZ90" s="620"/>
      <c r="WA90" s="620"/>
      <c r="WB90" s="620"/>
      <c r="WC90" s="620"/>
      <c r="WD90" s="620"/>
      <c r="WE90" s="620"/>
      <c r="WF90" s="620"/>
      <c r="WG90" s="620"/>
      <c r="WH90" s="620"/>
      <c r="WI90" s="620"/>
      <c r="WJ90" s="620"/>
      <c r="WK90" s="620"/>
      <c r="WL90" s="620"/>
      <c r="WM90" s="620"/>
      <c r="WN90" s="620"/>
      <c r="WO90" s="620"/>
      <c r="WP90" s="620"/>
      <c r="WQ90" s="620"/>
      <c r="WR90" s="620"/>
      <c r="WS90" s="620"/>
      <c r="WT90" s="620"/>
      <c r="WU90" s="620"/>
      <c r="WV90" s="620"/>
      <c r="WW90" s="620"/>
      <c r="WX90" s="620"/>
      <c r="WY90" s="620"/>
      <c r="WZ90" s="620"/>
      <c r="XA90" s="620"/>
      <c r="XB90" s="620"/>
      <c r="XC90" s="620"/>
      <c r="XD90" s="620"/>
      <c r="XE90" s="620"/>
      <c r="XF90" s="620"/>
      <c r="XG90" s="620"/>
      <c r="XH90" s="620"/>
      <c r="XI90" s="620"/>
      <c r="XJ90" s="620"/>
      <c r="XK90" s="620"/>
      <c r="XL90" s="620"/>
      <c r="XM90" s="620"/>
      <c r="XN90" s="620"/>
      <c r="XO90" s="620"/>
      <c r="XP90" s="620"/>
      <c r="XQ90" s="620"/>
      <c r="XR90" s="620"/>
      <c r="XS90" s="620"/>
      <c r="XT90" s="620"/>
      <c r="XU90" s="620"/>
      <c r="XV90" s="620"/>
      <c r="XW90" s="620"/>
      <c r="XX90" s="620"/>
      <c r="XY90" s="620"/>
      <c r="XZ90" s="620"/>
      <c r="YA90" s="620"/>
      <c r="YB90" s="620"/>
      <c r="YC90" s="620"/>
      <c r="YD90" s="620"/>
      <c r="YE90" s="620"/>
      <c r="YF90" s="620"/>
      <c r="YG90" s="620"/>
      <c r="YH90" s="620"/>
      <c r="YI90" s="620"/>
      <c r="YJ90" s="620"/>
      <c r="YK90" s="620"/>
      <c r="YL90" s="620"/>
      <c r="YM90" s="620"/>
      <c r="YN90" s="620"/>
      <c r="YO90" s="620"/>
      <c r="YP90" s="620"/>
      <c r="YQ90" s="620"/>
      <c r="YR90" s="620"/>
      <c r="YS90" s="620"/>
      <c r="YT90" s="620"/>
      <c r="YU90" s="620"/>
      <c r="YV90" s="620"/>
      <c r="YW90" s="620"/>
      <c r="YX90" s="620"/>
      <c r="YY90" s="620"/>
      <c r="YZ90" s="620"/>
      <c r="ZA90" s="620"/>
      <c r="ZB90" s="620"/>
      <c r="ZC90" s="620"/>
      <c r="ZD90" s="620"/>
      <c r="ZE90" s="620"/>
      <c r="ZF90" s="620"/>
      <c r="ZG90" s="620"/>
      <c r="ZH90" s="620"/>
      <c r="ZI90" s="620"/>
      <c r="ZJ90" s="620"/>
      <c r="ZK90" s="620"/>
      <c r="ZL90" s="620"/>
      <c r="ZM90" s="620"/>
      <c r="ZN90" s="620"/>
      <c r="ZO90" s="620"/>
      <c r="ZP90" s="620"/>
      <c r="ZQ90" s="620"/>
      <c r="ZR90" s="620"/>
      <c r="ZS90" s="620"/>
      <c r="ZT90" s="620"/>
      <c r="ZU90" s="620"/>
      <c r="ZV90" s="620"/>
      <c r="ZW90" s="620"/>
      <c r="ZX90" s="620"/>
      <c r="ZY90" s="620"/>
      <c r="ZZ90" s="620"/>
      <c r="AAA90" s="620"/>
      <c r="AAB90" s="620"/>
      <c r="AAC90" s="620"/>
      <c r="AAD90" s="620"/>
      <c r="AAE90" s="620"/>
      <c r="AAF90" s="620"/>
      <c r="AAG90" s="620"/>
      <c r="AAH90" s="620"/>
      <c r="AAI90" s="620"/>
      <c r="AAJ90" s="620"/>
      <c r="AAK90" s="620"/>
      <c r="AAL90" s="620"/>
      <c r="AAM90" s="620"/>
      <c r="AAN90" s="620"/>
      <c r="AAO90" s="620"/>
      <c r="AAP90" s="620"/>
      <c r="AAQ90" s="620"/>
      <c r="AAR90" s="620"/>
      <c r="AAS90" s="620"/>
      <c r="AAT90" s="620"/>
      <c r="AAU90" s="620"/>
      <c r="AAV90" s="620"/>
      <c r="AAW90" s="620"/>
      <c r="AAX90" s="620"/>
      <c r="AAY90" s="620"/>
      <c r="AAZ90" s="620"/>
      <c r="ABA90" s="620"/>
      <c r="ABB90" s="620"/>
      <c r="ABC90" s="620"/>
      <c r="ABD90" s="620"/>
      <c r="ABE90" s="620"/>
      <c r="ABF90" s="620"/>
      <c r="ABG90" s="620"/>
      <c r="ABH90" s="620"/>
      <c r="ABI90" s="620"/>
      <c r="ABJ90" s="620"/>
      <c r="ABK90" s="620"/>
      <c r="ABL90" s="620"/>
      <c r="ABM90" s="620"/>
      <c r="ABN90" s="620"/>
      <c r="ABO90" s="620"/>
      <c r="ABP90" s="620"/>
      <c r="ABQ90" s="620"/>
      <c r="ABR90" s="620"/>
      <c r="ABS90" s="620"/>
      <c r="ABT90" s="620"/>
      <c r="ABU90" s="620"/>
      <c r="ABV90" s="620"/>
      <c r="ABW90" s="620"/>
      <c r="ABX90" s="620"/>
      <c r="ABY90" s="620"/>
      <c r="ABZ90" s="620"/>
      <c r="ACA90" s="620"/>
      <c r="ACB90" s="620"/>
      <c r="ACC90" s="620"/>
      <c r="ACD90" s="620"/>
      <c r="ACE90" s="620"/>
      <c r="ACF90" s="620"/>
      <c r="ACG90" s="620"/>
      <c r="ACH90" s="620"/>
      <c r="ACI90" s="620"/>
      <c r="ACJ90" s="620"/>
      <c r="ACK90" s="620"/>
      <c r="ACL90" s="620"/>
      <c r="ACM90" s="620"/>
      <c r="ACN90" s="620"/>
      <c r="ACO90" s="620"/>
      <c r="ACP90" s="620"/>
      <c r="ACQ90" s="620"/>
      <c r="ACR90" s="620"/>
      <c r="ACS90" s="620"/>
      <c r="ACT90" s="620"/>
      <c r="ACU90" s="620"/>
      <c r="ACV90" s="620"/>
      <c r="ACW90" s="620"/>
      <c r="ACX90" s="620"/>
      <c r="ACY90" s="620"/>
      <c r="ACZ90" s="620"/>
      <c r="ADA90" s="620"/>
      <c r="ADB90" s="620"/>
      <c r="ADC90" s="620"/>
      <c r="ADD90" s="620"/>
      <c r="ADE90" s="620"/>
      <c r="ADF90" s="620"/>
      <c r="ADG90" s="620"/>
      <c r="ADH90" s="620"/>
      <c r="ADI90" s="620"/>
      <c r="ADJ90" s="620"/>
      <c r="ADK90" s="620"/>
      <c r="ADL90" s="620"/>
      <c r="ADM90" s="620"/>
      <c r="ADN90" s="620"/>
      <c r="ADO90" s="620"/>
      <c r="ADP90" s="620"/>
      <c r="ADQ90" s="620"/>
      <c r="ADR90" s="620"/>
      <c r="ADS90" s="620"/>
      <c r="ADT90" s="620"/>
      <c r="ADU90" s="620"/>
      <c r="ADV90" s="620"/>
      <c r="ADW90" s="620"/>
      <c r="ADX90" s="620"/>
      <c r="ADY90" s="620"/>
      <c r="ADZ90" s="620"/>
      <c r="AEA90" s="620"/>
      <c r="AEB90" s="620"/>
      <c r="AEC90" s="620"/>
      <c r="AED90" s="620"/>
      <c r="AEE90" s="620"/>
      <c r="AEF90" s="620"/>
      <c r="AEG90" s="620"/>
      <c r="AEH90" s="620"/>
      <c r="AEI90" s="620"/>
      <c r="AEJ90" s="620"/>
      <c r="AEK90" s="620"/>
      <c r="AEL90" s="620"/>
      <c r="AEM90" s="620"/>
      <c r="AEN90" s="620"/>
      <c r="AEO90" s="620"/>
      <c r="AEP90" s="620"/>
      <c r="AEQ90" s="620"/>
      <c r="AER90" s="620"/>
      <c r="AES90" s="620"/>
      <c r="AET90" s="620"/>
      <c r="AEU90" s="620"/>
      <c r="AEV90" s="620"/>
      <c r="AEW90" s="620"/>
      <c r="AEX90" s="620"/>
      <c r="AEY90" s="620"/>
      <c r="AEZ90" s="620"/>
      <c r="AFA90" s="620"/>
      <c r="AFB90" s="620"/>
      <c r="AFC90" s="620"/>
      <c r="AFD90" s="620"/>
      <c r="AFE90" s="620"/>
      <c r="AFF90" s="620"/>
      <c r="AFG90" s="620"/>
      <c r="AFH90" s="620"/>
      <c r="AFI90" s="620"/>
      <c r="AFJ90" s="620"/>
      <c r="AFK90" s="620"/>
      <c r="AFL90" s="620"/>
      <c r="AFM90" s="620"/>
      <c r="AFN90" s="620"/>
      <c r="AFO90" s="620"/>
      <c r="AFP90" s="620"/>
      <c r="AFQ90" s="620"/>
      <c r="AFR90" s="620"/>
      <c r="AFS90" s="620"/>
      <c r="AFT90" s="620"/>
      <c r="AFU90" s="620"/>
      <c r="AFV90" s="620"/>
      <c r="AFW90" s="620"/>
      <c r="AFX90" s="620"/>
      <c r="AFY90" s="620"/>
      <c r="AFZ90" s="620"/>
      <c r="AGA90" s="620"/>
      <c r="AGB90" s="620"/>
      <c r="AGC90" s="620"/>
      <c r="AGD90" s="620"/>
      <c r="AGE90" s="620"/>
      <c r="AGF90" s="620"/>
      <c r="AGG90" s="620"/>
      <c r="AGH90" s="620"/>
      <c r="AGI90" s="620"/>
      <c r="AGJ90" s="620"/>
      <c r="AGK90" s="620"/>
      <c r="AGL90" s="620"/>
      <c r="AGM90" s="620"/>
      <c r="AGN90" s="620"/>
      <c r="AGO90" s="620"/>
      <c r="AGP90" s="620"/>
      <c r="AGQ90" s="620"/>
      <c r="AGR90" s="620"/>
      <c r="AGS90" s="620"/>
      <c r="AGT90" s="620"/>
      <c r="AGU90" s="620"/>
      <c r="AGV90" s="620"/>
      <c r="AGW90" s="620"/>
      <c r="AGX90" s="620"/>
      <c r="AGY90" s="620"/>
      <c r="AGZ90" s="620"/>
      <c r="AHA90" s="620"/>
      <c r="AHB90" s="620"/>
      <c r="AHC90" s="620"/>
      <c r="AHD90" s="620"/>
      <c r="AHE90" s="620"/>
      <c r="AHF90" s="620"/>
      <c r="AHG90" s="620"/>
      <c r="AHH90" s="620"/>
      <c r="AHI90" s="620"/>
      <c r="AHJ90" s="620"/>
      <c r="AHK90" s="620"/>
      <c r="AHL90" s="620"/>
      <c r="AHM90" s="620"/>
      <c r="AHN90" s="620"/>
      <c r="AHO90" s="620"/>
      <c r="AHP90" s="620"/>
      <c r="AHQ90" s="620"/>
      <c r="AHR90" s="620"/>
      <c r="AHS90" s="620"/>
      <c r="AHT90" s="620"/>
      <c r="AHU90" s="620"/>
      <c r="AHV90" s="620"/>
      <c r="AHW90" s="620"/>
      <c r="AHX90" s="620"/>
      <c r="AHY90" s="620"/>
      <c r="AHZ90" s="620"/>
      <c r="AIA90" s="620"/>
      <c r="AIB90" s="620"/>
      <c r="AIC90" s="620"/>
      <c r="AID90" s="620"/>
      <c r="AIE90" s="620"/>
      <c r="AIF90" s="620"/>
      <c r="AIG90" s="620"/>
      <c r="AIH90" s="620"/>
      <c r="AII90" s="620"/>
      <c r="AIJ90" s="620"/>
      <c r="AIK90" s="620"/>
      <c r="AIL90" s="620"/>
      <c r="AIM90" s="620"/>
      <c r="AIN90" s="620"/>
      <c r="AIO90" s="620"/>
      <c r="AIP90" s="620"/>
      <c r="AIQ90" s="620"/>
      <c r="AIR90" s="620"/>
      <c r="AIS90" s="620"/>
      <c r="AIT90" s="620"/>
      <c r="AIU90" s="620"/>
      <c r="AIV90" s="620"/>
      <c r="AIW90" s="620"/>
      <c r="AIX90" s="620"/>
      <c r="AIY90" s="620"/>
      <c r="AIZ90" s="620"/>
      <c r="AJA90" s="620"/>
      <c r="AJB90" s="620"/>
      <c r="AJC90" s="620"/>
      <c r="AJD90" s="620"/>
      <c r="AJE90" s="620"/>
      <c r="AJF90" s="620"/>
      <c r="AJG90" s="620"/>
      <c r="AJH90" s="620"/>
      <c r="AJI90" s="620"/>
      <c r="AJJ90" s="620"/>
      <c r="AJK90" s="620"/>
      <c r="AJL90" s="620"/>
      <c r="AJM90" s="620"/>
      <c r="AJN90" s="620"/>
      <c r="AJO90" s="620"/>
      <c r="AJP90" s="620"/>
      <c r="AJQ90" s="620"/>
      <c r="AJR90" s="620"/>
      <c r="AJS90" s="620"/>
      <c r="AJT90" s="620"/>
      <c r="AJU90" s="620"/>
      <c r="AJV90" s="620"/>
      <c r="AJW90" s="620"/>
      <c r="AJX90" s="620"/>
      <c r="AJY90" s="620"/>
      <c r="AJZ90" s="620"/>
      <c r="AKA90" s="620"/>
      <c r="AKB90" s="620"/>
      <c r="AKC90" s="620"/>
      <c r="AKD90" s="620"/>
      <c r="AKE90" s="620"/>
      <c r="AKF90" s="620"/>
      <c r="AKG90" s="620"/>
      <c r="AKH90" s="620"/>
      <c r="AKI90" s="620"/>
      <c r="AKJ90" s="620"/>
      <c r="AKK90" s="620"/>
      <c r="AKL90" s="620"/>
      <c r="AKM90" s="620"/>
      <c r="AKN90" s="620"/>
      <c r="AKO90" s="620"/>
      <c r="AKP90" s="620"/>
      <c r="AKQ90" s="620"/>
      <c r="AKR90" s="620"/>
      <c r="AKS90" s="620"/>
      <c r="AKT90" s="620"/>
      <c r="AKU90" s="620"/>
      <c r="AKV90" s="620"/>
      <c r="AKW90" s="620"/>
      <c r="AKX90" s="620"/>
      <c r="AKY90" s="620"/>
      <c r="AKZ90" s="620"/>
      <c r="ALA90" s="620"/>
      <c r="ALB90" s="620"/>
      <c r="ALC90" s="620"/>
      <c r="ALD90" s="620"/>
      <c r="ALE90" s="620"/>
      <c r="ALF90" s="620"/>
      <c r="ALG90" s="620"/>
      <c r="ALH90" s="620"/>
      <c r="ALI90" s="620"/>
      <c r="ALJ90" s="620"/>
      <c r="ALK90" s="620"/>
      <c r="ALL90" s="620"/>
      <c r="ALM90" s="620"/>
      <c r="ALN90" s="620"/>
      <c r="ALO90" s="620"/>
      <c r="ALP90" s="620"/>
      <c r="ALQ90" s="620"/>
      <c r="ALR90" s="620"/>
      <c r="ALS90" s="620"/>
      <c r="ALT90" s="620"/>
      <c r="ALU90" s="620"/>
      <c r="ALV90" s="620"/>
      <c r="ALW90" s="620"/>
      <c r="ALX90" s="620"/>
      <c r="ALY90" s="620"/>
      <c r="ALZ90" s="620"/>
      <c r="AMA90" s="620"/>
      <c r="AMB90" s="620"/>
      <c r="AMC90" s="620"/>
      <c r="AMD90" s="620"/>
    </row>
    <row r="91" spans="1:1018" s="224" customFormat="1" ht="13.5" customHeight="1">
      <c r="A91" s="225">
        <v>77</v>
      </c>
      <c r="B91" s="217"/>
      <c r="C91" s="610"/>
      <c r="D91" s="241" t="s">
        <v>1279</v>
      </c>
      <c r="E91" s="241"/>
      <c r="F91" s="241"/>
      <c r="G91" s="241"/>
      <c r="H91" s="575" t="s">
        <v>1280</v>
      </c>
      <c r="I91" s="611" t="s">
        <v>1281</v>
      </c>
      <c r="J91" s="575"/>
      <c r="K91" s="611" t="s">
        <v>910</v>
      </c>
      <c r="L91" s="575"/>
      <c r="M91" s="575"/>
      <c r="N91" s="575"/>
      <c r="O91" s="575"/>
      <c r="P91" s="612"/>
      <c r="Q91" s="575" t="s">
        <v>817</v>
      </c>
      <c r="R91" s="575"/>
      <c r="S91" s="575" t="s">
        <v>863</v>
      </c>
      <c r="T91" s="374"/>
      <c r="U91" s="255"/>
      <c r="V91" s="375"/>
      <c r="W91" s="614" t="s">
        <v>864</v>
      </c>
      <c r="X91" s="232"/>
      <c r="Y91" s="387" t="s">
        <v>1282</v>
      </c>
      <c r="Z91" s="575" t="s">
        <v>1277</v>
      </c>
      <c r="AA91" s="616"/>
      <c r="AB91" s="575"/>
      <c r="AC91" s="613"/>
      <c r="AD91" s="613">
        <v>1</v>
      </c>
      <c r="AF91" s="246"/>
    </row>
    <row r="92" spans="1:1018" s="224" customFormat="1" ht="13.5" customHeight="1">
      <c r="A92" s="225">
        <v>78</v>
      </c>
      <c r="B92" s="217"/>
      <c r="C92" s="610"/>
      <c r="D92" s="610" t="s">
        <v>1283</v>
      </c>
      <c r="E92" s="610"/>
      <c r="F92" s="610"/>
      <c r="G92" s="610"/>
      <c r="H92" s="575" t="s">
        <v>1284</v>
      </c>
      <c r="I92" s="611" t="s">
        <v>1285</v>
      </c>
      <c r="J92" s="575" t="s">
        <v>939</v>
      </c>
      <c r="K92" s="611" t="s">
        <v>939</v>
      </c>
      <c r="L92" s="575" t="s">
        <v>1286</v>
      </c>
      <c r="M92" s="575" t="s">
        <v>1287</v>
      </c>
      <c r="N92" s="575"/>
      <c r="O92" s="575"/>
      <c r="P92" s="612">
        <v>1</v>
      </c>
      <c r="Q92" s="575" t="s">
        <v>817</v>
      </c>
      <c r="R92" s="575"/>
      <c r="S92" s="575" t="s">
        <v>863</v>
      </c>
      <c r="T92" s="613"/>
      <c r="U92" s="255"/>
      <c r="V92" s="614"/>
      <c r="W92" s="614" t="s">
        <v>864</v>
      </c>
      <c r="X92" s="232"/>
      <c r="Y92" s="615"/>
      <c r="Z92" s="575"/>
      <c r="AA92" s="616"/>
      <c r="AB92" s="575"/>
      <c r="AC92" s="613"/>
      <c r="AD92" s="613">
        <v>1</v>
      </c>
    </row>
    <row r="93" spans="1:1018" s="224" customFormat="1" ht="13.5" customHeight="1">
      <c r="A93" s="225">
        <v>79</v>
      </c>
      <c r="B93" s="217"/>
      <c r="C93" s="610"/>
      <c r="D93" s="241" t="s">
        <v>1288</v>
      </c>
      <c r="E93" s="610"/>
      <c r="F93" s="241"/>
      <c r="G93" s="241"/>
      <c r="H93" s="575"/>
      <c r="I93" s="611"/>
      <c r="J93" s="575" t="s">
        <v>1289</v>
      </c>
      <c r="K93" s="611" t="s">
        <v>1290</v>
      </c>
      <c r="L93" s="575"/>
      <c r="M93" s="575"/>
      <c r="N93" s="575"/>
      <c r="O93" s="575"/>
      <c r="P93" s="612"/>
      <c r="Q93" s="575" t="s">
        <v>817</v>
      </c>
      <c r="R93" s="575" t="s">
        <v>864</v>
      </c>
      <c r="S93" s="575" t="s">
        <v>1290</v>
      </c>
      <c r="T93" s="613"/>
      <c r="U93" s="575"/>
      <c r="V93" s="614" t="s">
        <v>864</v>
      </c>
      <c r="W93" s="614" t="s">
        <v>864</v>
      </c>
      <c r="X93" s="232"/>
      <c r="Y93" s="615"/>
      <c r="Z93" s="575"/>
      <c r="AA93" s="616"/>
      <c r="AB93" s="575"/>
      <c r="AC93" s="613">
        <v>1</v>
      </c>
      <c r="AD93" s="613">
        <v>1</v>
      </c>
    </row>
    <row r="94" spans="1:1018" s="224" customFormat="1" ht="13.5" customHeight="1">
      <c r="A94" s="225">
        <v>80</v>
      </c>
      <c r="B94" s="217"/>
      <c r="C94" s="610"/>
      <c r="D94" s="610"/>
      <c r="E94" s="610" t="s">
        <v>1291</v>
      </c>
      <c r="F94" s="610"/>
      <c r="G94" s="610"/>
      <c r="H94" s="575" t="s">
        <v>1292</v>
      </c>
      <c r="I94" s="611" t="s">
        <v>1293</v>
      </c>
      <c r="J94" s="575"/>
      <c r="K94" s="611" t="s">
        <v>1074</v>
      </c>
      <c r="L94" s="575" t="s">
        <v>1294</v>
      </c>
      <c r="M94" s="575" t="s">
        <v>1295</v>
      </c>
      <c r="N94" s="575"/>
      <c r="O94" s="575"/>
      <c r="P94" s="612"/>
      <c r="Q94" s="575" t="s">
        <v>820</v>
      </c>
      <c r="R94" s="575"/>
      <c r="S94" s="575" t="s">
        <v>863</v>
      </c>
      <c r="T94" s="613"/>
      <c r="U94" s="575" t="s">
        <v>1296</v>
      </c>
      <c r="V94" s="614" t="s">
        <v>864</v>
      </c>
      <c r="W94" s="614" t="s">
        <v>864</v>
      </c>
      <c r="X94" s="232"/>
      <c r="Y94" s="615"/>
      <c r="Z94" s="575"/>
      <c r="AA94" s="616"/>
      <c r="AB94" s="575"/>
      <c r="AC94" s="613">
        <v>1</v>
      </c>
      <c r="AD94" s="613">
        <v>1</v>
      </c>
    </row>
    <row r="95" spans="1:1018" s="224" customFormat="1" ht="13.5" customHeight="1">
      <c r="A95" s="225">
        <v>81</v>
      </c>
      <c r="B95" s="217"/>
      <c r="C95" s="610"/>
      <c r="D95" s="241"/>
      <c r="E95" s="610" t="s">
        <v>1091</v>
      </c>
      <c r="F95" s="221"/>
      <c r="G95" s="221"/>
      <c r="H95" s="575" t="s">
        <v>1297</v>
      </c>
      <c r="I95" s="575" t="s">
        <v>1121</v>
      </c>
      <c r="J95" s="575"/>
      <c r="K95" s="611" t="s">
        <v>1298</v>
      </c>
      <c r="L95" s="575"/>
      <c r="M95" s="575"/>
      <c r="N95" s="575"/>
      <c r="O95" s="575"/>
      <c r="P95" s="612"/>
      <c r="Q95" s="575" t="s">
        <v>817</v>
      </c>
      <c r="R95" s="575"/>
      <c r="S95" s="575" t="s">
        <v>863</v>
      </c>
      <c r="T95" s="613"/>
      <c r="U95" s="575"/>
      <c r="V95" s="614" t="s">
        <v>864</v>
      </c>
      <c r="W95" s="614" t="s">
        <v>864</v>
      </c>
      <c r="X95" s="232"/>
      <c r="Y95" s="615"/>
      <c r="Z95" s="575"/>
      <c r="AA95" s="616"/>
      <c r="AB95" s="575"/>
      <c r="AC95" s="613">
        <v>1</v>
      </c>
      <c r="AD95" s="613">
        <v>1</v>
      </c>
    </row>
    <row r="96" spans="1:1018" s="244" customFormat="1" ht="14.25" customHeight="1">
      <c r="A96" s="225">
        <v>82</v>
      </c>
      <c r="B96" s="217"/>
      <c r="C96" s="221"/>
      <c r="D96" s="221"/>
      <c r="E96" s="610" t="s">
        <v>1299</v>
      </c>
      <c r="F96" s="221"/>
      <c r="G96" s="221"/>
      <c r="H96" s="575" t="s">
        <v>1300</v>
      </c>
      <c r="I96" s="611" t="s">
        <v>1301</v>
      </c>
      <c r="J96" s="575"/>
      <c r="K96" s="611" t="s">
        <v>1302</v>
      </c>
      <c r="L96" s="575"/>
      <c r="M96" s="575"/>
      <c r="N96" s="575"/>
      <c r="O96" s="575"/>
      <c r="P96" s="612"/>
      <c r="Q96" s="575" t="s">
        <v>817</v>
      </c>
      <c r="R96" s="575"/>
      <c r="S96" s="575" t="s">
        <v>863</v>
      </c>
      <c r="T96" s="613"/>
      <c r="U96" s="575"/>
      <c r="V96" s="614" t="s">
        <v>864</v>
      </c>
      <c r="W96" s="614" t="s">
        <v>864</v>
      </c>
      <c r="X96" s="232"/>
      <c r="Y96" s="615"/>
      <c r="Z96" s="575"/>
      <c r="AA96" s="616"/>
      <c r="AB96" s="575"/>
      <c r="AC96" s="613">
        <v>1</v>
      </c>
      <c r="AD96" s="613">
        <v>1</v>
      </c>
    </row>
    <row r="97" spans="1:1018" s="559" customFormat="1" ht="13.5" customHeight="1">
      <c r="A97" s="389">
        <v>83</v>
      </c>
      <c r="B97" s="551"/>
      <c r="C97" s="551" t="s">
        <v>1303</v>
      </c>
      <c r="D97" s="551"/>
      <c r="E97" s="551"/>
      <c r="F97" s="551"/>
      <c r="G97" s="551"/>
      <c r="H97" s="389" t="s">
        <v>1304</v>
      </c>
      <c r="I97" s="552"/>
      <c r="J97" s="389" t="s">
        <v>908</v>
      </c>
      <c r="K97" s="552" t="s">
        <v>1305</v>
      </c>
      <c r="L97" s="389"/>
      <c r="M97" s="389"/>
      <c r="N97" s="389"/>
      <c r="O97" s="389"/>
      <c r="P97" s="553"/>
      <c r="Q97" s="389" t="s">
        <v>820</v>
      </c>
      <c r="R97" s="389" t="s">
        <v>864</v>
      </c>
      <c r="S97" s="554" t="s">
        <v>1306</v>
      </c>
      <c r="T97" s="555"/>
      <c r="U97" s="389"/>
      <c r="V97" s="556"/>
      <c r="W97" s="556" t="s">
        <v>864</v>
      </c>
      <c r="X97" s="557"/>
      <c r="Y97" s="387"/>
      <c r="Z97" s="389"/>
      <c r="AA97" s="558"/>
      <c r="AB97" s="389"/>
      <c r="AC97" s="555">
        <v>1</v>
      </c>
      <c r="AD97" s="555"/>
    </row>
    <row r="98" spans="1:1018" s="559" customFormat="1" ht="13.5" customHeight="1">
      <c r="A98" s="389">
        <v>84</v>
      </c>
      <c r="B98" s="551"/>
      <c r="C98" s="551"/>
      <c r="D98" s="551" t="s">
        <v>1307</v>
      </c>
      <c r="E98" s="551"/>
      <c r="F98" s="551"/>
      <c r="G98" s="551"/>
      <c r="H98" s="389" t="s">
        <v>1308</v>
      </c>
      <c r="I98" s="552" t="s">
        <v>1309</v>
      </c>
      <c r="J98" s="389"/>
      <c r="K98" s="552" t="s">
        <v>1310</v>
      </c>
      <c r="L98" s="389"/>
      <c r="M98" s="389"/>
      <c r="N98" s="389"/>
      <c r="O98" s="389"/>
      <c r="P98" s="553"/>
      <c r="Q98" s="389" t="s">
        <v>820</v>
      </c>
      <c r="R98" s="389"/>
      <c r="S98" s="389" t="s">
        <v>863</v>
      </c>
      <c r="T98" s="555"/>
      <c r="U98" s="389"/>
      <c r="V98" s="556"/>
      <c r="W98" s="556" t="s">
        <v>864</v>
      </c>
      <c r="X98" s="557"/>
      <c r="Y98" s="387"/>
      <c r="Z98" s="389" t="s">
        <v>1063</v>
      </c>
      <c r="AA98" s="558"/>
      <c r="AB98" s="389"/>
      <c r="AC98" s="555">
        <v>1</v>
      </c>
      <c r="AD98" s="555"/>
    </row>
    <row r="99" spans="1:1018" s="559" customFormat="1" ht="13.5" customHeight="1">
      <c r="A99" s="389">
        <v>85</v>
      </c>
      <c r="B99" s="551"/>
      <c r="C99" s="551"/>
      <c r="D99" s="551" t="s">
        <v>1311</v>
      </c>
      <c r="E99" s="551"/>
      <c r="F99" s="551"/>
      <c r="G99" s="551"/>
      <c r="H99" s="389" t="s">
        <v>1312</v>
      </c>
      <c r="I99" s="552" t="s">
        <v>1255</v>
      </c>
      <c r="J99" s="389"/>
      <c r="K99" s="552" t="s">
        <v>958</v>
      </c>
      <c r="L99" s="389"/>
      <c r="M99" s="389"/>
      <c r="N99" s="389"/>
      <c r="O99" s="389"/>
      <c r="P99" s="553"/>
      <c r="Q99" s="389" t="s">
        <v>820</v>
      </c>
      <c r="R99" s="389"/>
      <c r="S99" s="389" t="s">
        <v>863</v>
      </c>
      <c r="T99" s="555"/>
      <c r="U99" s="389" t="s">
        <v>1256</v>
      </c>
      <c r="V99" s="556"/>
      <c r="W99" s="556" t="s">
        <v>864</v>
      </c>
      <c r="X99" s="557"/>
      <c r="Y99" s="387"/>
      <c r="Z99" s="389"/>
      <c r="AA99" s="558"/>
      <c r="AB99" s="389"/>
      <c r="AC99" s="555">
        <v>1</v>
      </c>
      <c r="AD99" s="555"/>
    </row>
    <row r="100" spans="1:1018" s="567" customFormat="1" ht="17.25" customHeight="1">
      <c r="A100" s="389">
        <v>86</v>
      </c>
      <c r="B100" s="560"/>
      <c r="C100" s="559"/>
      <c r="D100" s="559" t="s">
        <v>1313</v>
      </c>
      <c r="E100" s="559"/>
      <c r="F100" s="559"/>
      <c r="G100" s="389"/>
      <c r="H100" s="389" t="s">
        <v>1314</v>
      </c>
      <c r="I100" s="561" t="s">
        <v>1260</v>
      </c>
      <c r="J100" s="389"/>
      <c r="K100" s="552" t="s">
        <v>1107</v>
      </c>
      <c r="L100" s="389"/>
      <c r="M100" s="389"/>
      <c r="N100" s="389"/>
      <c r="O100" s="389"/>
      <c r="P100" s="553"/>
      <c r="Q100" s="389" t="s">
        <v>820</v>
      </c>
      <c r="R100" s="389"/>
      <c r="S100" s="389" t="s">
        <v>863</v>
      </c>
      <c r="T100" s="562"/>
      <c r="U100" s="563"/>
      <c r="V100" s="555"/>
      <c r="W100" s="555" t="s">
        <v>864</v>
      </c>
      <c r="X100" s="557"/>
      <c r="Y100" s="564"/>
      <c r="Z100" s="563"/>
      <c r="AA100" s="565"/>
      <c r="AB100" s="563"/>
      <c r="AC100" s="566">
        <v>1</v>
      </c>
      <c r="AD100" s="555">
        <v>1</v>
      </c>
      <c r="AE100" s="560"/>
      <c r="AG100" s="560"/>
      <c r="AH100" s="560"/>
      <c r="AI100" s="560"/>
      <c r="AJ100" s="560"/>
      <c r="AK100" s="560"/>
      <c r="AL100" s="560"/>
      <c r="AM100" s="560"/>
      <c r="AN100" s="560"/>
      <c r="AO100" s="560"/>
      <c r="AP100" s="560"/>
      <c r="AQ100" s="560"/>
      <c r="AR100" s="560"/>
      <c r="AS100" s="560"/>
      <c r="AT100" s="560"/>
      <c r="AU100" s="560"/>
      <c r="AV100" s="560"/>
      <c r="AW100" s="560"/>
      <c r="AX100" s="560"/>
      <c r="AY100" s="560"/>
      <c r="AZ100" s="560"/>
      <c r="BA100" s="560"/>
      <c r="BB100" s="560"/>
      <c r="BC100" s="560"/>
      <c r="BD100" s="560"/>
      <c r="BE100" s="560"/>
      <c r="BF100" s="560"/>
      <c r="BG100" s="560"/>
      <c r="BH100" s="560"/>
      <c r="BI100" s="560"/>
      <c r="BJ100" s="560"/>
      <c r="BK100" s="560"/>
      <c r="BL100" s="560"/>
      <c r="BM100" s="560"/>
      <c r="BN100" s="560"/>
      <c r="BO100" s="560"/>
      <c r="BP100" s="560"/>
      <c r="BQ100" s="560"/>
      <c r="BR100" s="560"/>
      <c r="BS100" s="560"/>
      <c r="BT100" s="560"/>
      <c r="BU100" s="560"/>
      <c r="BV100" s="560"/>
      <c r="BW100" s="560"/>
      <c r="BX100" s="560"/>
      <c r="BY100" s="560"/>
      <c r="BZ100" s="560"/>
      <c r="CA100" s="560"/>
      <c r="CB100" s="560"/>
      <c r="CC100" s="560"/>
      <c r="CD100" s="560"/>
      <c r="CE100" s="560"/>
      <c r="CF100" s="560"/>
      <c r="CG100" s="560"/>
      <c r="CH100" s="560"/>
      <c r="CI100" s="560"/>
      <c r="CJ100" s="560"/>
      <c r="CK100" s="560"/>
      <c r="CL100" s="560"/>
      <c r="CM100" s="560"/>
      <c r="CN100" s="560"/>
      <c r="CO100" s="560"/>
      <c r="CP100" s="560"/>
      <c r="CQ100" s="560"/>
      <c r="CR100" s="560"/>
      <c r="CS100" s="560"/>
      <c r="CT100" s="560"/>
      <c r="CU100" s="560"/>
      <c r="CV100" s="560"/>
      <c r="CW100" s="560"/>
      <c r="CX100" s="560"/>
      <c r="CY100" s="560"/>
      <c r="CZ100" s="560"/>
      <c r="DA100" s="560"/>
      <c r="DB100" s="560"/>
      <c r="DC100" s="560"/>
      <c r="DD100" s="560"/>
      <c r="DE100" s="560"/>
      <c r="DF100" s="560"/>
      <c r="DG100" s="560"/>
      <c r="DH100" s="560"/>
      <c r="DI100" s="560"/>
      <c r="DJ100" s="560"/>
      <c r="DK100" s="560"/>
      <c r="DL100" s="560"/>
      <c r="DM100" s="560"/>
      <c r="DN100" s="560"/>
      <c r="DO100" s="560"/>
      <c r="DP100" s="560"/>
      <c r="DQ100" s="560"/>
      <c r="DR100" s="560"/>
      <c r="DS100" s="560"/>
      <c r="DT100" s="560"/>
      <c r="DU100" s="560"/>
      <c r="DV100" s="560"/>
      <c r="DW100" s="560"/>
      <c r="DX100" s="560"/>
      <c r="DY100" s="560"/>
      <c r="DZ100" s="560"/>
      <c r="EA100" s="560"/>
      <c r="EB100" s="560"/>
      <c r="EC100" s="560"/>
      <c r="ED100" s="560"/>
      <c r="EE100" s="560"/>
      <c r="EF100" s="560"/>
      <c r="EG100" s="560"/>
      <c r="EH100" s="560"/>
      <c r="EI100" s="560"/>
      <c r="EJ100" s="560"/>
      <c r="EK100" s="560"/>
      <c r="EL100" s="560"/>
      <c r="EM100" s="560"/>
      <c r="EN100" s="560"/>
      <c r="EO100" s="560"/>
      <c r="EP100" s="560"/>
      <c r="EQ100" s="560"/>
      <c r="ER100" s="560"/>
      <c r="ES100" s="560"/>
      <c r="ET100" s="560"/>
      <c r="EU100" s="560"/>
      <c r="EV100" s="560"/>
      <c r="EW100" s="560"/>
      <c r="EX100" s="560"/>
      <c r="EY100" s="560"/>
      <c r="EZ100" s="560"/>
      <c r="FA100" s="560"/>
      <c r="FB100" s="560"/>
      <c r="FC100" s="560"/>
      <c r="FD100" s="560"/>
      <c r="FE100" s="560"/>
      <c r="FF100" s="560"/>
      <c r="FG100" s="560"/>
      <c r="FH100" s="560"/>
      <c r="FI100" s="560"/>
      <c r="FJ100" s="560"/>
      <c r="FK100" s="560"/>
      <c r="FL100" s="560"/>
      <c r="FM100" s="560"/>
      <c r="FN100" s="560"/>
      <c r="FO100" s="560"/>
      <c r="FP100" s="560"/>
      <c r="FQ100" s="560"/>
      <c r="FR100" s="560"/>
      <c r="FS100" s="560"/>
      <c r="FT100" s="560"/>
      <c r="FU100" s="560"/>
      <c r="FV100" s="560"/>
      <c r="FW100" s="560"/>
      <c r="FX100" s="560"/>
      <c r="FY100" s="560"/>
      <c r="FZ100" s="560"/>
      <c r="GA100" s="560"/>
      <c r="GB100" s="560"/>
      <c r="GC100" s="560"/>
      <c r="GD100" s="560"/>
      <c r="GE100" s="560"/>
      <c r="GF100" s="560"/>
      <c r="GG100" s="560"/>
      <c r="GH100" s="560"/>
      <c r="GI100" s="560"/>
      <c r="GJ100" s="560"/>
      <c r="GK100" s="560"/>
      <c r="GL100" s="560"/>
      <c r="GM100" s="560"/>
      <c r="GN100" s="560"/>
      <c r="GO100" s="560"/>
      <c r="GP100" s="560"/>
      <c r="GQ100" s="560"/>
      <c r="GR100" s="560"/>
      <c r="GS100" s="560"/>
      <c r="GT100" s="560"/>
      <c r="GU100" s="560"/>
      <c r="GV100" s="560"/>
      <c r="GW100" s="560"/>
      <c r="GX100" s="560"/>
      <c r="GY100" s="560"/>
      <c r="GZ100" s="560"/>
      <c r="HA100" s="560"/>
      <c r="HB100" s="560"/>
      <c r="HC100" s="560"/>
      <c r="HD100" s="560"/>
      <c r="HE100" s="560"/>
      <c r="HF100" s="560"/>
      <c r="HG100" s="560"/>
      <c r="HH100" s="560"/>
      <c r="HI100" s="560"/>
      <c r="HJ100" s="560"/>
      <c r="HK100" s="560"/>
      <c r="HL100" s="560"/>
      <c r="HM100" s="560"/>
      <c r="HN100" s="560"/>
      <c r="HO100" s="560"/>
      <c r="HP100" s="560"/>
      <c r="HQ100" s="560"/>
      <c r="HR100" s="560"/>
      <c r="HS100" s="560"/>
      <c r="HT100" s="560"/>
      <c r="HU100" s="560"/>
      <c r="HV100" s="560"/>
      <c r="HW100" s="560"/>
      <c r="HX100" s="560"/>
      <c r="HY100" s="560"/>
      <c r="HZ100" s="560"/>
      <c r="IA100" s="560"/>
      <c r="IB100" s="560"/>
      <c r="IC100" s="560"/>
      <c r="ID100" s="560"/>
      <c r="IE100" s="560"/>
      <c r="IF100" s="560"/>
      <c r="IG100" s="560"/>
      <c r="IH100" s="560"/>
      <c r="II100" s="560"/>
      <c r="IJ100" s="560"/>
      <c r="IK100" s="560"/>
      <c r="IL100" s="560"/>
      <c r="IM100" s="560"/>
      <c r="IN100" s="560"/>
      <c r="IO100" s="560"/>
      <c r="IP100" s="560"/>
      <c r="IQ100" s="560"/>
      <c r="IR100" s="560"/>
      <c r="IS100" s="560"/>
      <c r="IT100" s="560"/>
      <c r="IU100" s="560"/>
      <c r="IV100" s="560"/>
      <c r="IW100" s="560"/>
      <c r="IX100" s="560"/>
      <c r="IY100" s="560"/>
      <c r="IZ100" s="560"/>
      <c r="JA100" s="560"/>
      <c r="JB100" s="560"/>
      <c r="JC100" s="560"/>
      <c r="JD100" s="560"/>
      <c r="JE100" s="560"/>
      <c r="JF100" s="560"/>
      <c r="JG100" s="560"/>
      <c r="JH100" s="560"/>
      <c r="JI100" s="560"/>
      <c r="JJ100" s="560"/>
      <c r="JK100" s="560"/>
      <c r="JL100" s="560"/>
      <c r="JM100" s="560"/>
      <c r="JN100" s="560"/>
      <c r="JO100" s="560"/>
      <c r="JP100" s="560"/>
      <c r="JQ100" s="560"/>
      <c r="JR100" s="560"/>
      <c r="JS100" s="560"/>
      <c r="JT100" s="560"/>
      <c r="JU100" s="560"/>
      <c r="JV100" s="560"/>
      <c r="JW100" s="560"/>
      <c r="JX100" s="560"/>
      <c r="JY100" s="560"/>
      <c r="JZ100" s="560"/>
      <c r="KA100" s="560"/>
      <c r="KB100" s="560"/>
      <c r="KC100" s="560"/>
      <c r="KD100" s="560"/>
      <c r="KE100" s="560"/>
      <c r="KF100" s="560"/>
      <c r="KG100" s="560"/>
      <c r="KH100" s="560"/>
      <c r="KI100" s="560"/>
      <c r="KJ100" s="560"/>
      <c r="KK100" s="560"/>
      <c r="KL100" s="560"/>
      <c r="KM100" s="560"/>
      <c r="KN100" s="560"/>
      <c r="KO100" s="560"/>
      <c r="KP100" s="560"/>
      <c r="KQ100" s="560"/>
      <c r="KR100" s="560"/>
      <c r="KS100" s="560"/>
      <c r="KT100" s="560"/>
      <c r="KU100" s="560"/>
      <c r="KV100" s="560"/>
      <c r="KW100" s="560"/>
      <c r="KX100" s="560"/>
      <c r="KY100" s="560"/>
      <c r="KZ100" s="560"/>
      <c r="LA100" s="560"/>
      <c r="LB100" s="560"/>
      <c r="LC100" s="560"/>
      <c r="LD100" s="560"/>
      <c r="LE100" s="560"/>
      <c r="LF100" s="560"/>
      <c r="LG100" s="560"/>
      <c r="LH100" s="560"/>
      <c r="LI100" s="560"/>
      <c r="LJ100" s="560"/>
      <c r="LK100" s="560"/>
      <c r="LL100" s="560"/>
      <c r="LM100" s="560"/>
      <c r="LN100" s="560"/>
      <c r="LO100" s="560"/>
      <c r="LP100" s="560"/>
      <c r="LQ100" s="560"/>
      <c r="LR100" s="560"/>
      <c r="LS100" s="560"/>
      <c r="LT100" s="560"/>
      <c r="LU100" s="560"/>
      <c r="LV100" s="560"/>
      <c r="LW100" s="560"/>
      <c r="LX100" s="560"/>
      <c r="LY100" s="560"/>
      <c r="LZ100" s="560"/>
      <c r="MA100" s="560"/>
      <c r="MB100" s="560"/>
      <c r="MC100" s="560"/>
      <c r="MD100" s="560"/>
      <c r="ME100" s="560"/>
      <c r="MF100" s="560"/>
      <c r="MG100" s="560"/>
      <c r="MH100" s="560"/>
      <c r="MI100" s="560"/>
      <c r="MJ100" s="560"/>
      <c r="MK100" s="560"/>
      <c r="ML100" s="560"/>
      <c r="MM100" s="560"/>
      <c r="MN100" s="560"/>
      <c r="MO100" s="560"/>
      <c r="MP100" s="560"/>
      <c r="MQ100" s="560"/>
      <c r="MR100" s="560"/>
      <c r="MS100" s="560"/>
      <c r="MT100" s="560"/>
      <c r="MU100" s="560"/>
      <c r="MV100" s="560"/>
      <c r="MW100" s="560"/>
      <c r="MX100" s="560"/>
      <c r="MY100" s="560"/>
      <c r="MZ100" s="560"/>
      <c r="NA100" s="560"/>
      <c r="NB100" s="560"/>
      <c r="NC100" s="560"/>
      <c r="ND100" s="560"/>
      <c r="NE100" s="560"/>
      <c r="NF100" s="560"/>
      <c r="NG100" s="560"/>
      <c r="NH100" s="560"/>
      <c r="NI100" s="560"/>
      <c r="NJ100" s="560"/>
      <c r="NK100" s="560"/>
      <c r="NL100" s="560"/>
      <c r="NM100" s="560"/>
      <c r="NN100" s="560"/>
      <c r="NO100" s="560"/>
      <c r="NP100" s="560"/>
      <c r="NQ100" s="560"/>
      <c r="NR100" s="560"/>
      <c r="NS100" s="560"/>
      <c r="NT100" s="560"/>
      <c r="NU100" s="560"/>
      <c r="NV100" s="560"/>
      <c r="NW100" s="560"/>
      <c r="NX100" s="560"/>
      <c r="NY100" s="560"/>
      <c r="NZ100" s="560"/>
      <c r="OA100" s="560"/>
      <c r="OB100" s="560"/>
      <c r="OC100" s="560"/>
      <c r="OD100" s="560"/>
      <c r="OE100" s="560"/>
      <c r="OF100" s="560"/>
      <c r="OG100" s="560"/>
      <c r="OH100" s="560"/>
      <c r="OI100" s="560"/>
      <c r="OJ100" s="560"/>
      <c r="OK100" s="560"/>
      <c r="OL100" s="560"/>
      <c r="OM100" s="560"/>
      <c r="ON100" s="560"/>
      <c r="OO100" s="560"/>
      <c r="OP100" s="560"/>
      <c r="OQ100" s="560"/>
      <c r="OR100" s="560"/>
      <c r="OS100" s="560"/>
      <c r="OT100" s="560"/>
      <c r="OU100" s="560"/>
      <c r="OV100" s="560"/>
      <c r="OW100" s="560"/>
      <c r="OX100" s="560"/>
      <c r="OY100" s="560"/>
      <c r="OZ100" s="560"/>
      <c r="PA100" s="560"/>
      <c r="PB100" s="560"/>
      <c r="PC100" s="560"/>
      <c r="PD100" s="560"/>
      <c r="PE100" s="560"/>
      <c r="PF100" s="560"/>
      <c r="PG100" s="560"/>
      <c r="PH100" s="560"/>
      <c r="PI100" s="560"/>
      <c r="PJ100" s="560"/>
      <c r="PK100" s="560"/>
      <c r="PL100" s="560"/>
      <c r="PM100" s="560"/>
      <c r="PN100" s="560"/>
      <c r="PO100" s="560"/>
      <c r="PP100" s="560"/>
      <c r="PQ100" s="560"/>
      <c r="PR100" s="560"/>
      <c r="PS100" s="560"/>
      <c r="PT100" s="560"/>
      <c r="PU100" s="560"/>
      <c r="PV100" s="560"/>
      <c r="PW100" s="560"/>
      <c r="PX100" s="560"/>
      <c r="PY100" s="560"/>
      <c r="PZ100" s="560"/>
      <c r="QA100" s="560"/>
      <c r="QB100" s="560"/>
      <c r="QC100" s="560"/>
      <c r="QD100" s="560"/>
      <c r="QE100" s="560"/>
      <c r="QF100" s="560"/>
      <c r="QG100" s="560"/>
      <c r="QH100" s="560"/>
      <c r="QI100" s="560"/>
      <c r="QJ100" s="560"/>
      <c r="QK100" s="560"/>
      <c r="QL100" s="560"/>
      <c r="QM100" s="560"/>
      <c r="QN100" s="560"/>
      <c r="QO100" s="560"/>
      <c r="QP100" s="560"/>
      <c r="QQ100" s="560"/>
      <c r="QR100" s="560"/>
      <c r="QS100" s="560"/>
      <c r="QT100" s="560"/>
      <c r="QU100" s="560"/>
      <c r="QV100" s="560"/>
      <c r="QW100" s="560"/>
      <c r="QX100" s="560"/>
      <c r="QY100" s="560"/>
      <c r="QZ100" s="560"/>
      <c r="RA100" s="560"/>
      <c r="RB100" s="560"/>
      <c r="RC100" s="560"/>
      <c r="RD100" s="560"/>
      <c r="RE100" s="560"/>
      <c r="RF100" s="560"/>
      <c r="RG100" s="560"/>
      <c r="RH100" s="560"/>
      <c r="RI100" s="560"/>
      <c r="RJ100" s="560"/>
      <c r="RK100" s="560"/>
      <c r="RL100" s="560"/>
      <c r="RM100" s="560"/>
      <c r="RN100" s="560"/>
      <c r="RO100" s="560"/>
      <c r="RP100" s="560"/>
      <c r="RQ100" s="560"/>
      <c r="RR100" s="560"/>
      <c r="RS100" s="560"/>
      <c r="RT100" s="560"/>
      <c r="RU100" s="560"/>
      <c r="RV100" s="560"/>
      <c r="RW100" s="560"/>
      <c r="RX100" s="560"/>
      <c r="RY100" s="560"/>
      <c r="RZ100" s="560"/>
      <c r="SA100" s="560"/>
      <c r="SB100" s="560"/>
      <c r="SC100" s="560"/>
      <c r="SD100" s="560"/>
      <c r="SE100" s="560"/>
      <c r="SF100" s="560"/>
      <c r="SG100" s="560"/>
      <c r="SH100" s="560"/>
      <c r="SI100" s="560"/>
      <c r="SJ100" s="560"/>
      <c r="SK100" s="560"/>
      <c r="SL100" s="560"/>
      <c r="SM100" s="560"/>
      <c r="SN100" s="560"/>
      <c r="SO100" s="560"/>
      <c r="SP100" s="560"/>
      <c r="SQ100" s="560"/>
      <c r="SR100" s="560"/>
      <c r="SS100" s="560"/>
      <c r="ST100" s="560"/>
      <c r="SU100" s="560"/>
      <c r="SV100" s="560"/>
      <c r="SW100" s="560"/>
      <c r="SX100" s="560"/>
      <c r="SY100" s="560"/>
      <c r="SZ100" s="560"/>
      <c r="TA100" s="560"/>
      <c r="TB100" s="560"/>
      <c r="TC100" s="560"/>
      <c r="TD100" s="560"/>
      <c r="TE100" s="560"/>
      <c r="TF100" s="560"/>
      <c r="TG100" s="560"/>
      <c r="TH100" s="560"/>
      <c r="TI100" s="560"/>
      <c r="TJ100" s="560"/>
      <c r="TK100" s="560"/>
      <c r="TL100" s="560"/>
      <c r="TM100" s="560"/>
      <c r="TN100" s="560"/>
      <c r="TO100" s="560"/>
      <c r="TP100" s="560"/>
      <c r="TQ100" s="560"/>
      <c r="TR100" s="560"/>
      <c r="TS100" s="560"/>
      <c r="TT100" s="560"/>
      <c r="TU100" s="560"/>
      <c r="TV100" s="560"/>
      <c r="TW100" s="560"/>
      <c r="TX100" s="560"/>
      <c r="TY100" s="560"/>
      <c r="TZ100" s="560"/>
      <c r="UA100" s="560"/>
      <c r="UB100" s="560"/>
      <c r="UC100" s="560"/>
      <c r="UD100" s="560"/>
      <c r="UE100" s="560"/>
      <c r="UF100" s="560"/>
      <c r="UG100" s="560"/>
      <c r="UH100" s="560"/>
      <c r="UI100" s="560"/>
      <c r="UJ100" s="560"/>
      <c r="UK100" s="560"/>
      <c r="UL100" s="560"/>
      <c r="UM100" s="560"/>
      <c r="UN100" s="560"/>
      <c r="UO100" s="560"/>
      <c r="UP100" s="560"/>
      <c r="UQ100" s="560"/>
      <c r="UR100" s="560"/>
      <c r="US100" s="560"/>
      <c r="UT100" s="560"/>
      <c r="UU100" s="560"/>
      <c r="UV100" s="560"/>
      <c r="UW100" s="560"/>
      <c r="UX100" s="560"/>
      <c r="UY100" s="560"/>
      <c r="UZ100" s="560"/>
      <c r="VA100" s="560"/>
      <c r="VB100" s="560"/>
      <c r="VC100" s="560"/>
      <c r="VD100" s="560"/>
      <c r="VE100" s="560"/>
      <c r="VF100" s="560"/>
      <c r="VG100" s="560"/>
      <c r="VH100" s="560"/>
      <c r="VI100" s="560"/>
      <c r="VJ100" s="560"/>
      <c r="VK100" s="560"/>
      <c r="VL100" s="560"/>
      <c r="VM100" s="560"/>
      <c r="VN100" s="560"/>
      <c r="VO100" s="560"/>
      <c r="VP100" s="560"/>
      <c r="VQ100" s="560"/>
      <c r="VR100" s="560"/>
      <c r="VS100" s="560"/>
      <c r="VT100" s="560"/>
      <c r="VU100" s="560"/>
      <c r="VV100" s="560"/>
      <c r="VW100" s="560"/>
      <c r="VX100" s="560"/>
      <c r="VY100" s="560"/>
      <c r="VZ100" s="560"/>
      <c r="WA100" s="560"/>
      <c r="WB100" s="560"/>
      <c r="WC100" s="560"/>
      <c r="WD100" s="560"/>
      <c r="WE100" s="560"/>
      <c r="WF100" s="560"/>
      <c r="WG100" s="560"/>
      <c r="WH100" s="560"/>
      <c r="WI100" s="560"/>
      <c r="WJ100" s="560"/>
      <c r="WK100" s="560"/>
      <c r="WL100" s="560"/>
      <c r="WM100" s="560"/>
      <c r="WN100" s="560"/>
      <c r="WO100" s="560"/>
      <c r="WP100" s="560"/>
      <c r="WQ100" s="560"/>
      <c r="WR100" s="560"/>
      <c r="WS100" s="560"/>
      <c r="WT100" s="560"/>
      <c r="WU100" s="560"/>
      <c r="WV100" s="560"/>
      <c r="WW100" s="560"/>
      <c r="WX100" s="560"/>
      <c r="WY100" s="560"/>
      <c r="WZ100" s="560"/>
      <c r="XA100" s="560"/>
      <c r="XB100" s="560"/>
      <c r="XC100" s="560"/>
      <c r="XD100" s="560"/>
      <c r="XE100" s="560"/>
      <c r="XF100" s="560"/>
      <c r="XG100" s="560"/>
      <c r="XH100" s="560"/>
      <c r="XI100" s="560"/>
      <c r="XJ100" s="560"/>
      <c r="XK100" s="560"/>
      <c r="XL100" s="560"/>
      <c r="XM100" s="560"/>
      <c r="XN100" s="560"/>
      <c r="XO100" s="560"/>
      <c r="XP100" s="560"/>
      <c r="XQ100" s="560"/>
      <c r="XR100" s="560"/>
      <c r="XS100" s="560"/>
      <c r="XT100" s="560"/>
      <c r="XU100" s="560"/>
      <c r="XV100" s="560"/>
      <c r="XW100" s="560"/>
      <c r="XX100" s="560"/>
      <c r="XY100" s="560"/>
      <c r="XZ100" s="560"/>
      <c r="YA100" s="560"/>
      <c r="YB100" s="560"/>
      <c r="YC100" s="560"/>
      <c r="YD100" s="560"/>
      <c r="YE100" s="560"/>
      <c r="YF100" s="560"/>
      <c r="YG100" s="560"/>
      <c r="YH100" s="560"/>
      <c r="YI100" s="560"/>
      <c r="YJ100" s="560"/>
      <c r="YK100" s="560"/>
      <c r="YL100" s="560"/>
      <c r="YM100" s="560"/>
      <c r="YN100" s="560"/>
      <c r="YO100" s="560"/>
      <c r="YP100" s="560"/>
      <c r="YQ100" s="560"/>
      <c r="YR100" s="560"/>
      <c r="YS100" s="560"/>
      <c r="YT100" s="560"/>
      <c r="YU100" s="560"/>
      <c r="YV100" s="560"/>
      <c r="YW100" s="560"/>
      <c r="YX100" s="560"/>
      <c r="YY100" s="560"/>
      <c r="YZ100" s="560"/>
      <c r="ZA100" s="560"/>
      <c r="ZB100" s="560"/>
      <c r="ZC100" s="560"/>
      <c r="ZD100" s="560"/>
      <c r="ZE100" s="560"/>
      <c r="ZF100" s="560"/>
      <c r="ZG100" s="560"/>
      <c r="ZH100" s="560"/>
      <c r="ZI100" s="560"/>
      <c r="ZJ100" s="560"/>
      <c r="ZK100" s="560"/>
      <c r="ZL100" s="560"/>
      <c r="ZM100" s="560"/>
      <c r="ZN100" s="560"/>
      <c r="ZO100" s="560"/>
      <c r="ZP100" s="560"/>
      <c r="ZQ100" s="560"/>
      <c r="ZR100" s="560"/>
      <c r="ZS100" s="560"/>
      <c r="ZT100" s="560"/>
      <c r="ZU100" s="560"/>
      <c r="ZV100" s="560"/>
      <c r="ZW100" s="560"/>
      <c r="ZX100" s="560"/>
      <c r="ZY100" s="560"/>
      <c r="ZZ100" s="560"/>
      <c r="AAA100" s="560"/>
      <c r="AAB100" s="560"/>
      <c r="AAC100" s="560"/>
      <c r="AAD100" s="560"/>
      <c r="AAE100" s="560"/>
      <c r="AAF100" s="560"/>
      <c r="AAG100" s="560"/>
      <c r="AAH100" s="560"/>
      <c r="AAI100" s="560"/>
      <c r="AAJ100" s="560"/>
      <c r="AAK100" s="560"/>
      <c r="AAL100" s="560"/>
      <c r="AAM100" s="560"/>
      <c r="AAN100" s="560"/>
      <c r="AAO100" s="560"/>
      <c r="AAP100" s="560"/>
      <c r="AAQ100" s="560"/>
      <c r="AAR100" s="560"/>
      <c r="AAS100" s="560"/>
      <c r="AAT100" s="560"/>
      <c r="AAU100" s="560"/>
      <c r="AAV100" s="560"/>
      <c r="AAW100" s="560"/>
      <c r="AAX100" s="560"/>
      <c r="AAY100" s="560"/>
      <c r="AAZ100" s="560"/>
      <c r="ABA100" s="560"/>
      <c r="ABB100" s="560"/>
      <c r="ABC100" s="560"/>
      <c r="ABD100" s="560"/>
      <c r="ABE100" s="560"/>
      <c r="ABF100" s="560"/>
      <c r="ABG100" s="560"/>
      <c r="ABH100" s="560"/>
      <c r="ABI100" s="560"/>
      <c r="ABJ100" s="560"/>
      <c r="ABK100" s="560"/>
      <c r="ABL100" s="560"/>
      <c r="ABM100" s="560"/>
      <c r="ABN100" s="560"/>
      <c r="ABO100" s="560"/>
      <c r="ABP100" s="560"/>
      <c r="ABQ100" s="560"/>
      <c r="ABR100" s="560"/>
      <c r="ABS100" s="560"/>
      <c r="ABT100" s="560"/>
      <c r="ABU100" s="560"/>
      <c r="ABV100" s="560"/>
      <c r="ABW100" s="560"/>
      <c r="ABX100" s="560"/>
      <c r="ABY100" s="560"/>
      <c r="ABZ100" s="560"/>
      <c r="ACA100" s="560"/>
      <c r="ACB100" s="560"/>
      <c r="ACC100" s="560"/>
      <c r="ACD100" s="560"/>
      <c r="ACE100" s="560"/>
      <c r="ACF100" s="560"/>
      <c r="ACG100" s="560"/>
      <c r="ACH100" s="560"/>
      <c r="ACI100" s="560"/>
      <c r="ACJ100" s="560"/>
      <c r="ACK100" s="560"/>
      <c r="ACL100" s="560"/>
      <c r="ACM100" s="560"/>
      <c r="ACN100" s="560"/>
      <c r="ACO100" s="560"/>
      <c r="ACP100" s="560"/>
      <c r="ACQ100" s="560"/>
      <c r="ACR100" s="560"/>
      <c r="ACS100" s="560"/>
      <c r="ACT100" s="560"/>
      <c r="ACU100" s="560"/>
      <c r="ACV100" s="560"/>
      <c r="ACW100" s="560"/>
      <c r="ACX100" s="560"/>
      <c r="ACY100" s="560"/>
      <c r="ACZ100" s="560"/>
      <c r="ADA100" s="560"/>
      <c r="ADB100" s="560"/>
      <c r="ADC100" s="560"/>
      <c r="ADD100" s="560"/>
      <c r="ADE100" s="560"/>
      <c r="ADF100" s="560"/>
      <c r="ADG100" s="560"/>
      <c r="ADH100" s="560"/>
      <c r="ADI100" s="560"/>
      <c r="ADJ100" s="560"/>
      <c r="ADK100" s="560"/>
      <c r="ADL100" s="560"/>
      <c r="ADM100" s="560"/>
      <c r="ADN100" s="560"/>
      <c r="ADO100" s="560"/>
      <c r="ADP100" s="560"/>
      <c r="ADQ100" s="560"/>
      <c r="ADR100" s="560"/>
      <c r="ADS100" s="560"/>
      <c r="ADT100" s="560"/>
      <c r="ADU100" s="560"/>
      <c r="ADV100" s="560"/>
      <c r="ADW100" s="560"/>
      <c r="ADX100" s="560"/>
      <c r="ADY100" s="560"/>
      <c r="ADZ100" s="560"/>
      <c r="AEA100" s="560"/>
      <c r="AEB100" s="560"/>
      <c r="AEC100" s="560"/>
      <c r="AED100" s="560"/>
      <c r="AEE100" s="560"/>
      <c r="AEF100" s="560"/>
      <c r="AEG100" s="560"/>
      <c r="AEH100" s="560"/>
      <c r="AEI100" s="560"/>
      <c r="AEJ100" s="560"/>
      <c r="AEK100" s="560"/>
      <c r="AEL100" s="560"/>
      <c r="AEM100" s="560"/>
      <c r="AEN100" s="560"/>
      <c r="AEO100" s="560"/>
      <c r="AEP100" s="560"/>
      <c r="AEQ100" s="560"/>
      <c r="AER100" s="560"/>
      <c r="AES100" s="560"/>
      <c r="AET100" s="560"/>
      <c r="AEU100" s="560"/>
      <c r="AEV100" s="560"/>
      <c r="AEW100" s="560"/>
      <c r="AEX100" s="560"/>
      <c r="AEY100" s="560"/>
      <c r="AEZ100" s="560"/>
      <c r="AFA100" s="560"/>
      <c r="AFB100" s="560"/>
      <c r="AFC100" s="560"/>
      <c r="AFD100" s="560"/>
      <c r="AFE100" s="560"/>
      <c r="AFF100" s="560"/>
      <c r="AFG100" s="560"/>
      <c r="AFH100" s="560"/>
      <c r="AFI100" s="560"/>
      <c r="AFJ100" s="560"/>
      <c r="AFK100" s="560"/>
      <c r="AFL100" s="560"/>
      <c r="AFM100" s="560"/>
      <c r="AFN100" s="560"/>
      <c r="AFO100" s="560"/>
      <c r="AFP100" s="560"/>
      <c r="AFQ100" s="560"/>
      <c r="AFR100" s="560"/>
      <c r="AFS100" s="560"/>
      <c r="AFT100" s="560"/>
      <c r="AFU100" s="560"/>
      <c r="AFV100" s="560"/>
      <c r="AFW100" s="560"/>
      <c r="AFX100" s="560"/>
      <c r="AFY100" s="560"/>
      <c r="AFZ100" s="560"/>
      <c r="AGA100" s="560"/>
      <c r="AGB100" s="560"/>
      <c r="AGC100" s="560"/>
      <c r="AGD100" s="560"/>
      <c r="AGE100" s="560"/>
      <c r="AGF100" s="560"/>
      <c r="AGG100" s="560"/>
      <c r="AGH100" s="560"/>
      <c r="AGI100" s="560"/>
      <c r="AGJ100" s="560"/>
      <c r="AGK100" s="560"/>
      <c r="AGL100" s="560"/>
      <c r="AGM100" s="560"/>
      <c r="AGN100" s="560"/>
      <c r="AGO100" s="560"/>
      <c r="AGP100" s="560"/>
      <c r="AGQ100" s="560"/>
      <c r="AGR100" s="560"/>
      <c r="AGS100" s="560"/>
      <c r="AGT100" s="560"/>
      <c r="AGU100" s="560"/>
      <c r="AGV100" s="560"/>
      <c r="AGW100" s="560"/>
      <c r="AGX100" s="560"/>
      <c r="AGY100" s="560"/>
      <c r="AGZ100" s="560"/>
      <c r="AHA100" s="560"/>
      <c r="AHB100" s="560"/>
      <c r="AHC100" s="560"/>
      <c r="AHD100" s="560"/>
      <c r="AHE100" s="560"/>
      <c r="AHF100" s="560"/>
      <c r="AHG100" s="560"/>
      <c r="AHH100" s="560"/>
      <c r="AHI100" s="560"/>
      <c r="AHJ100" s="560"/>
      <c r="AHK100" s="560"/>
      <c r="AHL100" s="560"/>
      <c r="AHM100" s="560"/>
      <c r="AHN100" s="560"/>
      <c r="AHO100" s="560"/>
      <c r="AHP100" s="560"/>
      <c r="AHQ100" s="560"/>
      <c r="AHR100" s="560"/>
      <c r="AHS100" s="560"/>
      <c r="AHT100" s="560"/>
      <c r="AHU100" s="560"/>
      <c r="AHV100" s="560"/>
      <c r="AHW100" s="560"/>
      <c r="AHX100" s="560"/>
      <c r="AHY100" s="560"/>
      <c r="AHZ100" s="560"/>
      <c r="AIA100" s="560"/>
      <c r="AIB100" s="560"/>
      <c r="AIC100" s="560"/>
      <c r="AID100" s="560"/>
      <c r="AIE100" s="560"/>
      <c r="AIF100" s="560"/>
      <c r="AIG100" s="560"/>
      <c r="AIH100" s="560"/>
      <c r="AII100" s="560"/>
      <c r="AIJ100" s="560"/>
      <c r="AIK100" s="560"/>
      <c r="AIL100" s="560"/>
      <c r="AIM100" s="560"/>
      <c r="AIN100" s="560"/>
      <c r="AIO100" s="560"/>
      <c r="AIP100" s="560"/>
      <c r="AIQ100" s="560"/>
      <c r="AIR100" s="560"/>
      <c r="AIS100" s="560"/>
      <c r="AIT100" s="560"/>
      <c r="AIU100" s="560"/>
      <c r="AIV100" s="560"/>
      <c r="AIW100" s="560"/>
      <c r="AIX100" s="560"/>
      <c r="AIY100" s="560"/>
      <c r="AIZ100" s="560"/>
      <c r="AJA100" s="560"/>
      <c r="AJB100" s="560"/>
      <c r="AJC100" s="560"/>
      <c r="AJD100" s="560"/>
      <c r="AJE100" s="560"/>
      <c r="AJF100" s="560"/>
      <c r="AJG100" s="560"/>
      <c r="AJH100" s="560"/>
      <c r="AJI100" s="560"/>
      <c r="AJJ100" s="560"/>
      <c r="AJK100" s="560"/>
      <c r="AJL100" s="560"/>
      <c r="AJM100" s="560"/>
      <c r="AJN100" s="560"/>
      <c r="AJO100" s="560"/>
      <c r="AJP100" s="560"/>
      <c r="AJQ100" s="560"/>
      <c r="AJR100" s="560"/>
      <c r="AJS100" s="560"/>
      <c r="AJT100" s="560"/>
      <c r="AJU100" s="560"/>
      <c r="AJV100" s="560"/>
      <c r="AJW100" s="560"/>
      <c r="AJX100" s="560"/>
      <c r="AJY100" s="560"/>
      <c r="AJZ100" s="560"/>
      <c r="AKA100" s="560"/>
      <c r="AKB100" s="560"/>
      <c r="AKC100" s="560"/>
      <c r="AKD100" s="560"/>
      <c r="AKE100" s="560"/>
      <c r="AKF100" s="560"/>
      <c r="AKG100" s="560"/>
      <c r="AKH100" s="560"/>
      <c r="AKI100" s="560"/>
      <c r="AKJ100" s="560"/>
      <c r="AKK100" s="560"/>
      <c r="AKL100" s="560"/>
      <c r="AKM100" s="560"/>
      <c r="AKN100" s="560"/>
      <c r="AKO100" s="560"/>
      <c r="AKP100" s="560"/>
      <c r="AKQ100" s="560"/>
      <c r="AKR100" s="560"/>
      <c r="AKS100" s="560"/>
      <c r="AKT100" s="560"/>
      <c r="AKU100" s="560"/>
      <c r="AKV100" s="560"/>
      <c r="AKW100" s="560"/>
      <c r="AKX100" s="560"/>
      <c r="AKY100" s="560"/>
      <c r="AKZ100" s="560"/>
      <c r="ALA100" s="560"/>
      <c r="ALB100" s="560"/>
      <c r="ALC100" s="560"/>
      <c r="ALD100" s="560"/>
      <c r="ALE100" s="560"/>
      <c r="ALF100" s="560"/>
      <c r="ALG100" s="560"/>
      <c r="ALH100" s="560"/>
      <c r="ALI100" s="560"/>
      <c r="ALJ100" s="560"/>
      <c r="ALK100" s="560"/>
      <c r="ALL100" s="560"/>
      <c r="ALM100" s="560"/>
      <c r="ALN100" s="560"/>
      <c r="ALO100" s="560"/>
      <c r="ALP100" s="560"/>
      <c r="ALQ100" s="560"/>
      <c r="ALR100" s="560"/>
      <c r="ALS100" s="560"/>
      <c r="ALT100" s="560"/>
      <c r="ALU100" s="560"/>
      <c r="ALV100" s="560"/>
      <c r="ALW100" s="560"/>
      <c r="ALX100" s="560"/>
      <c r="ALY100" s="560"/>
      <c r="ALZ100" s="560"/>
    </row>
    <row r="101" spans="1:1018" s="224" customFormat="1" ht="13.5" customHeight="1">
      <c r="A101" s="225">
        <v>87</v>
      </c>
      <c r="B101" s="217"/>
      <c r="C101" s="241" t="s">
        <v>1315</v>
      </c>
      <c r="D101" s="217" t="s">
        <v>1316</v>
      </c>
      <c r="E101" s="247"/>
      <c r="F101" s="217"/>
      <c r="G101" s="217"/>
      <c r="H101" s="575" t="s">
        <v>1317</v>
      </c>
      <c r="I101" s="611"/>
      <c r="J101" s="575" t="s">
        <v>1318</v>
      </c>
      <c r="K101" s="611" t="s">
        <v>1041</v>
      </c>
      <c r="L101" s="575" t="s">
        <v>1319</v>
      </c>
      <c r="M101" s="575" t="s">
        <v>1320</v>
      </c>
      <c r="N101" s="575"/>
      <c r="O101" s="575"/>
      <c r="P101" s="612"/>
      <c r="Q101" s="575" t="s">
        <v>820</v>
      </c>
      <c r="R101" s="575" t="s">
        <v>864</v>
      </c>
      <c r="S101" s="243" t="s">
        <v>1041</v>
      </c>
      <c r="T101" s="283"/>
      <c r="U101" s="575"/>
      <c r="V101" s="614"/>
      <c r="W101" s="614" t="s">
        <v>864</v>
      </c>
      <c r="X101" s="232"/>
      <c r="Y101" s="248"/>
      <c r="Z101" s="575"/>
      <c r="AA101" s="616"/>
      <c r="AB101" s="575"/>
      <c r="AC101" s="613">
        <v>1</v>
      </c>
      <c r="AD101" s="613">
        <v>1</v>
      </c>
    </row>
    <row r="102" spans="1:1018" s="224" customFormat="1" ht="13.5" customHeight="1">
      <c r="A102" s="225">
        <v>88</v>
      </c>
      <c r="B102" s="217"/>
      <c r="C102" s="241" t="s">
        <v>1321</v>
      </c>
      <c r="D102" s="217" t="s">
        <v>1322</v>
      </c>
      <c r="E102" s="217"/>
      <c r="F102" s="217"/>
      <c r="G102" s="217"/>
      <c r="H102" s="575" t="s">
        <v>1323</v>
      </c>
      <c r="I102" s="611"/>
      <c r="J102" s="575" t="s">
        <v>962</v>
      </c>
      <c r="K102" s="611" t="s">
        <v>963</v>
      </c>
      <c r="L102" s="575"/>
      <c r="M102" s="575"/>
      <c r="N102" s="575"/>
      <c r="O102" s="575"/>
      <c r="P102" s="612"/>
      <c r="Q102" s="575" t="s">
        <v>820</v>
      </c>
      <c r="R102" s="575" t="s">
        <v>864</v>
      </c>
      <c r="S102" s="243" t="s">
        <v>963</v>
      </c>
      <c r="T102" s="613"/>
      <c r="U102" s="575"/>
      <c r="V102" s="614"/>
      <c r="W102" s="614" t="s">
        <v>864</v>
      </c>
      <c r="X102" s="232"/>
      <c r="Y102" s="615"/>
      <c r="Z102" s="575"/>
      <c r="AA102" s="616"/>
      <c r="AB102" s="575"/>
      <c r="AC102" s="613">
        <v>1</v>
      </c>
      <c r="AD102" s="613">
        <v>1</v>
      </c>
    </row>
    <row r="103" spans="1:1018" s="224" customFormat="1" ht="13.5" customHeight="1">
      <c r="A103" s="225">
        <v>89</v>
      </c>
      <c r="B103" s="217"/>
      <c r="C103" s="241" t="s">
        <v>1324</v>
      </c>
      <c r="D103" s="217"/>
      <c r="E103" s="217"/>
      <c r="F103" s="217"/>
      <c r="G103" s="217"/>
      <c r="H103" s="575" t="s">
        <v>1325</v>
      </c>
      <c r="I103" s="611"/>
      <c r="J103" s="575" t="s">
        <v>1326</v>
      </c>
      <c r="K103" s="611" t="s">
        <v>1326</v>
      </c>
      <c r="L103" s="575"/>
      <c r="M103" s="575"/>
      <c r="N103" s="575"/>
      <c r="O103" s="575"/>
      <c r="P103" s="612"/>
      <c r="Q103" s="575" t="s">
        <v>820</v>
      </c>
      <c r="R103" s="575" t="s">
        <v>864</v>
      </c>
      <c r="S103" s="243" t="s">
        <v>1326</v>
      </c>
      <c r="T103" s="613"/>
      <c r="U103" s="575"/>
      <c r="V103" s="614"/>
      <c r="W103" s="614" t="s">
        <v>864</v>
      </c>
      <c r="X103" s="232"/>
      <c r="Y103" s="615"/>
      <c r="Z103" s="575"/>
      <c r="AA103" s="616"/>
      <c r="AB103" s="575"/>
      <c r="AC103" s="613">
        <v>1</v>
      </c>
      <c r="AD103" s="613">
        <v>1</v>
      </c>
    </row>
    <row r="104" spans="1:1018" s="224" customFormat="1" ht="13.5" customHeight="1">
      <c r="A104" s="225">
        <v>90</v>
      </c>
      <c r="B104" s="217"/>
      <c r="C104" s="241"/>
      <c r="D104" s="217" t="s">
        <v>1327</v>
      </c>
      <c r="E104" s="217"/>
      <c r="F104" s="241"/>
      <c r="G104" s="241"/>
      <c r="H104" s="575" t="s">
        <v>1328</v>
      </c>
      <c r="I104" s="611" t="s">
        <v>1329</v>
      </c>
      <c r="J104" s="575" t="s">
        <v>1330</v>
      </c>
      <c r="K104" s="611"/>
      <c r="L104" s="575"/>
      <c r="M104" s="575"/>
      <c r="N104" s="575"/>
      <c r="O104" s="575"/>
      <c r="P104" s="612"/>
      <c r="Q104" s="575" t="s">
        <v>820</v>
      </c>
      <c r="R104" s="575"/>
      <c r="S104" s="575" t="s">
        <v>863</v>
      </c>
      <c r="T104" s="613"/>
      <c r="U104" s="575"/>
      <c r="V104" s="614"/>
      <c r="W104" s="614" t="s">
        <v>864</v>
      </c>
      <c r="X104" s="232"/>
      <c r="Y104" s="615"/>
      <c r="Z104" s="575" t="s">
        <v>1063</v>
      </c>
      <c r="AA104" s="616"/>
      <c r="AB104" s="575"/>
      <c r="AC104" s="613"/>
      <c r="AD104" s="613">
        <v>1</v>
      </c>
    </row>
    <row r="105" spans="1:1018" s="224" customFormat="1" ht="13.5" customHeight="1">
      <c r="A105" s="225">
        <v>91</v>
      </c>
      <c r="B105" s="217"/>
      <c r="C105" s="241"/>
      <c r="D105" s="217" t="s">
        <v>1331</v>
      </c>
      <c r="E105" s="217"/>
      <c r="F105" s="241"/>
      <c r="G105" s="241"/>
      <c r="H105" s="575" t="s">
        <v>1332</v>
      </c>
      <c r="I105" s="611" t="s">
        <v>1333</v>
      </c>
      <c r="J105" s="575" t="s">
        <v>1334</v>
      </c>
      <c r="K105" s="611"/>
      <c r="L105" s="575"/>
      <c r="M105" s="575"/>
      <c r="N105" s="575"/>
      <c r="O105" s="575"/>
      <c r="P105" s="612"/>
      <c r="Q105" s="575" t="s">
        <v>820</v>
      </c>
      <c r="R105" s="575"/>
      <c r="S105" s="575" t="s">
        <v>863</v>
      </c>
      <c r="T105" s="613"/>
      <c r="U105" s="575"/>
      <c r="V105" s="614"/>
      <c r="W105" s="614" t="s">
        <v>864</v>
      </c>
      <c r="X105" s="232"/>
      <c r="Y105" s="615"/>
      <c r="Z105" s="575" t="s">
        <v>1335</v>
      </c>
      <c r="AA105" s="616"/>
      <c r="AB105" s="575"/>
      <c r="AC105" s="613"/>
      <c r="AD105" s="613">
        <v>1</v>
      </c>
    </row>
    <row r="106" spans="1:1018" s="224" customFormat="1" ht="13.5" customHeight="1">
      <c r="A106" s="225">
        <v>92</v>
      </c>
      <c r="B106" s="217"/>
      <c r="C106" s="241"/>
      <c r="D106" s="241" t="s">
        <v>1336</v>
      </c>
      <c r="E106" s="241"/>
      <c r="F106" s="241"/>
      <c r="G106" s="241"/>
      <c r="H106" s="575" t="s">
        <v>1337</v>
      </c>
      <c r="I106" s="611" t="s">
        <v>1338</v>
      </c>
      <c r="J106" s="575" t="s">
        <v>1339</v>
      </c>
      <c r="K106" s="611" t="s">
        <v>1340</v>
      </c>
      <c r="L106" s="575"/>
      <c r="M106" s="575"/>
      <c r="N106" s="575"/>
      <c r="O106" s="575"/>
      <c r="P106" s="612"/>
      <c r="Q106" s="575" t="s">
        <v>817</v>
      </c>
      <c r="R106" s="575"/>
      <c r="S106" s="575" t="s">
        <v>863</v>
      </c>
      <c r="T106" s="613"/>
      <c r="U106" s="575"/>
      <c r="V106" s="614"/>
      <c r="W106" s="614" t="s">
        <v>864</v>
      </c>
      <c r="X106" s="232"/>
      <c r="Y106" s="615"/>
      <c r="Z106" s="575"/>
      <c r="AA106" s="616"/>
      <c r="AB106" s="575"/>
      <c r="AC106" s="613"/>
      <c r="AD106" s="613">
        <v>1</v>
      </c>
    </row>
    <row r="107" spans="1:1018" s="224" customFormat="1" ht="13.5" customHeight="1">
      <c r="A107" s="225">
        <v>93</v>
      </c>
      <c r="B107" s="217"/>
      <c r="C107" s="241"/>
      <c r="D107" s="217" t="s">
        <v>1341</v>
      </c>
      <c r="E107" s="219" t="s">
        <v>1262</v>
      </c>
      <c r="F107" s="217"/>
      <c r="G107" s="217"/>
      <c r="H107" s="575" t="s">
        <v>1342</v>
      </c>
      <c r="I107" s="618"/>
      <c r="J107" s="575" t="s">
        <v>1343</v>
      </c>
      <c r="K107" s="611" t="s">
        <v>1344</v>
      </c>
      <c r="L107" s="575"/>
      <c r="M107" s="575"/>
      <c r="N107" s="575"/>
      <c r="O107" s="575"/>
      <c r="P107" s="612"/>
      <c r="Q107" s="575" t="s">
        <v>817</v>
      </c>
      <c r="R107" s="575" t="s">
        <v>864</v>
      </c>
      <c r="S107" s="243" t="s">
        <v>1251</v>
      </c>
      <c r="T107" s="613"/>
      <c r="U107" s="575"/>
      <c r="V107" s="614"/>
      <c r="W107" s="614" t="s">
        <v>864</v>
      </c>
      <c r="X107" s="232"/>
      <c r="Y107" s="615"/>
      <c r="Z107" s="575"/>
      <c r="AA107" s="616"/>
      <c r="AB107" s="575"/>
      <c r="AC107" s="613">
        <v>1</v>
      </c>
      <c r="AD107" s="613">
        <v>1</v>
      </c>
    </row>
    <row r="108" spans="1:1018" s="224" customFormat="1" ht="13.5" customHeight="1">
      <c r="A108" s="225">
        <v>94</v>
      </c>
      <c r="B108" s="217"/>
      <c r="C108" s="241"/>
      <c r="D108" s="217" t="s">
        <v>1345</v>
      </c>
      <c r="E108" s="241"/>
      <c r="F108" s="241"/>
      <c r="G108" s="241"/>
      <c r="H108" s="575" t="s">
        <v>1346</v>
      </c>
      <c r="I108" s="611" t="s">
        <v>1347</v>
      </c>
      <c r="J108" s="575" t="s">
        <v>1348</v>
      </c>
      <c r="K108" s="611"/>
      <c r="L108" s="575" t="s">
        <v>1349</v>
      </c>
      <c r="M108" s="575" t="s">
        <v>1350</v>
      </c>
      <c r="N108" s="575"/>
      <c r="O108" s="575"/>
      <c r="P108" s="612"/>
      <c r="Q108" s="575" t="s">
        <v>817</v>
      </c>
      <c r="R108" s="575"/>
      <c r="S108" s="575" t="s">
        <v>863</v>
      </c>
      <c r="T108" s="613"/>
      <c r="U108" s="575"/>
      <c r="V108" s="614"/>
      <c r="W108" s="614" t="s">
        <v>864</v>
      </c>
      <c r="X108" s="232"/>
      <c r="Y108" s="615"/>
      <c r="Z108" s="575"/>
      <c r="AA108" s="616"/>
      <c r="AB108" s="575"/>
      <c r="AC108" s="613">
        <v>1</v>
      </c>
      <c r="AD108" s="613">
        <v>1</v>
      </c>
    </row>
    <row r="109" spans="1:1018" s="251" customFormat="1" ht="13.5" customHeight="1">
      <c r="A109" s="225">
        <v>95</v>
      </c>
      <c r="B109" s="217"/>
      <c r="C109" s="241" t="s">
        <v>1351</v>
      </c>
      <c r="D109" s="610"/>
      <c r="E109" s="250"/>
      <c r="F109" s="250"/>
      <c r="G109" s="250"/>
      <c r="H109" s="575" t="s">
        <v>1352</v>
      </c>
      <c r="I109" s="611"/>
      <c r="J109" s="575" t="s">
        <v>1353</v>
      </c>
      <c r="K109" s="611" t="s">
        <v>1354</v>
      </c>
      <c r="L109" s="575"/>
      <c r="M109" s="575"/>
      <c r="N109" s="575"/>
      <c r="O109" s="575"/>
      <c r="P109" s="612"/>
      <c r="Q109" s="575" t="s">
        <v>823</v>
      </c>
      <c r="R109" s="575" t="s">
        <v>864</v>
      </c>
      <c r="S109" s="243" t="s">
        <v>1354</v>
      </c>
      <c r="T109" s="283"/>
      <c r="U109" s="575"/>
      <c r="V109" s="614"/>
      <c r="W109" s="614" t="s">
        <v>864</v>
      </c>
      <c r="X109" s="232"/>
      <c r="Y109" s="248"/>
      <c r="Z109" s="575"/>
      <c r="AA109" s="616"/>
      <c r="AB109" s="575"/>
      <c r="AC109" s="613">
        <v>1</v>
      </c>
      <c r="AD109" s="613">
        <v>1</v>
      </c>
      <c r="AMD109" s="224"/>
    </row>
    <row r="110" spans="1:1018" s="251" customFormat="1" ht="13.5" customHeight="1">
      <c r="A110" s="225">
        <v>96</v>
      </c>
      <c r="B110" s="217"/>
      <c r="C110" s="241"/>
      <c r="D110" s="610" t="s">
        <v>1355</v>
      </c>
      <c r="E110" s="610"/>
      <c r="F110" s="241"/>
      <c r="G110" s="241"/>
      <c r="H110" s="575" t="s">
        <v>1356</v>
      </c>
      <c r="I110" s="611" t="s">
        <v>1357</v>
      </c>
      <c r="J110" s="575" t="s">
        <v>1358</v>
      </c>
      <c r="K110" s="611" t="s">
        <v>1359</v>
      </c>
      <c r="L110" s="575"/>
      <c r="M110" s="575"/>
      <c r="N110" s="575"/>
      <c r="O110" s="575"/>
      <c r="P110" s="612"/>
      <c r="Q110" s="575" t="s">
        <v>817</v>
      </c>
      <c r="R110" s="575"/>
      <c r="S110" s="575" t="s">
        <v>863</v>
      </c>
      <c r="T110" s="613"/>
      <c r="U110" s="575"/>
      <c r="V110" s="614"/>
      <c r="W110" s="614" t="s">
        <v>864</v>
      </c>
      <c r="X110" s="232"/>
      <c r="Y110" s="615"/>
      <c r="Z110" s="575" t="s">
        <v>999</v>
      </c>
      <c r="AA110" s="616"/>
      <c r="AB110" s="575"/>
      <c r="AC110" s="613">
        <v>1</v>
      </c>
      <c r="AD110" s="613">
        <v>1</v>
      </c>
      <c r="AMD110" s="224"/>
    </row>
    <row r="111" spans="1:1018" s="251" customFormat="1" ht="13.5" customHeight="1">
      <c r="A111" s="225">
        <v>97</v>
      </c>
      <c r="B111" s="217"/>
      <c r="C111" s="241"/>
      <c r="D111" s="610" t="s">
        <v>1360</v>
      </c>
      <c r="E111" s="610"/>
      <c r="F111" s="241"/>
      <c r="G111" s="241"/>
      <c r="H111" s="575" t="s">
        <v>1361</v>
      </c>
      <c r="I111" s="611" t="s">
        <v>1362</v>
      </c>
      <c r="J111" s="575" t="s">
        <v>1363</v>
      </c>
      <c r="K111" s="611"/>
      <c r="L111" s="575"/>
      <c r="M111" s="575"/>
      <c r="N111" s="575"/>
      <c r="O111" s="575"/>
      <c r="P111" s="612"/>
      <c r="Q111" s="575" t="s">
        <v>817</v>
      </c>
      <c r="R111" s="575"/>
      <c r="S111" s="575" t="s">
        <v>863</v>
      </c>
      <c r="T111" s="613"/>
      <c r="U111" s="575"/>
      <c r="V111" s="614"/>
      <c r="W111" s="614" t="s">
        <v>864</v>
      </c>
      <c r="X111" s="232"/>
      <c r="Y111" s="615"/>
      <c r="Z111" s="575"/>
      <c r="AA111" s="616"/>
      <c r="AB111" s="575"/>
      <c r="AC111" s="613">
        <v>1</v>
      </c>
      <c r="AD111" s="613">
        <v>1</v>
      </c>
      <c r="AMD111" s="224"/>
    </row>
    <row r="112" spans="1:1018" s="251" customFormat="1" ht="13.5" customHeight="1">
      <c r="A112" s="225">
        <v>98</v>
      </c>
      <c r="B112" s="217"/>
      <c r="C112" s="241"/>
      <c r="D112" s="610" t="s">
        <v>1364</v>
      </c>
      <c r="E112" s="610"/>
      <c r="F112" s="241"/>
      <c r="G112" s="241"/>
      <c r="H112" s="575" t="s">
        <v>1365</v>
      </c>
      <c r="I112" s="611" t="s">
        <v>1366</v>
      </c>
      <c r="J112" s="575" t="s">
        <v>1367</v>
      </c>
      <c r="K112" s="611"/>
      <c r="L112" s="575"/>
      <c r="M112" s="575"/>
      <c r="N112" s="575"/>
      <c r="O112" s="575"/>
      <c r="P112" s="612"/>
      <c r="Q112" s="575" t="s">
        <v>817</v>
      </c>
      <c r="R112" s="575"/>
      <c r="S112" s="575" t="s">
        <v>1368</v>
      </c>
      <c r="T112" s="613"/>
      <c r="U112" s="575"/>
      <c r="V112" s="614"/>
      <c r="W112" s="614" t="s">
        <v>864</v>
      </c>
      <c r="X112" s="232"/>
      <c r="Y112" s="615"/>
      <c r="Z112" s="575"/>
      <c r="AA112" s="616"/>
      <c r="AB112" s="575"/>
      <c r="AC112" s="613">
        <v>1</v>
      </c>
      <c r="AD112" s="613">
        <v>1</v>
      </c>
      <c r="AMD112" s="224"/>
    </row>
    <row r="113" spans="1:1018" s="251" customFormat="1" ht="13.5" customHeight="1">
      <c r="A113" s="225">
        <v>99</v>
      </c>
      <c r="B113" s="217"/>
      <c r="C113" s="241"/>
      <c r="D113" s="610" t="s">
        <v>875</v>
      </c>
      <c r="E113" s="610"/>
      <c r="F113" s="241"/>
      <c r="G113" s="241"/>
      <c r="H113" s="575" t="s">
        <v>1369</v>
      </c>
      <c r="I113" s="276" t="s">
        <v>1370</v>
      </c>
      <c r="J113" s="575" t="s">
        <v>875</v>
      </c>
      <c r="K113" s="611"/>
      <c r="L113" s="575"/>
      <c r="M113" s="575"/>
      <c r="N113" s="575"/>
      <c r="O113" s="575"/>
      <c r="P113" s="612"/>
      <c r="Q113" s="575" t="s">
        <v>820</v>
      </c>
      <c r="R113" s="575"/>
      <c r="S113" s="575" t="s">
        <v>863</v>
      </c>
      <c r="T113" s="613"/>
      <c r="U113" s="575"/>
      <c r="V113" s="614"/>
      <c r="W113" s="614" t="s">
        <v>864</v>
      </c>
      <c r="X113" s="232"/>
      <c r="Y113" s="615"/>
      <c r="Z113" s="575"/>
      <c r="AA113" s="616"/>
      <c r="AB113" s="575"/>
      <c r="AC113" s="613">
        <v>1</v>
      </c>
      <c r="AD113" s="613">
        <v>1</v>
      </c>
      <c r="AMD113" s="224"/>
    </row>
    <row r="114" spans="1:1018" s="251" customFormat="1" ht="13.5" customHeight="1">
      <c r="A114" s="225">
        <v>100</v>
      </c>
      <c r="B114" s="217"/>
      <c r="C114" s="241"/>
      <c r="D114" s="610" t="s">
        <v>1371</v>
      </c>
      <c r="E114" s="610"/>
      <c r="F114" s="241"/>
      <c r="G114" s="241"/>
      <c r="H114" s="575" t="s">
        <v>1372</v>
      </c>
      <c r="I114" s="611"/>
      <c r="J114" s="575" t="s">
        <v>1373</v>
      </c>
      <c r="K114" s="611"/>
      <c r="L114" s="575"/>
      <c r="M114" s="575"/>
      <c r="N114" s="575"/>
      <c r="O114" s="575"/>
      <c r="P114" s="612"/>
      <c r="Q114" s="575" t="s">
        <v>817</v>
      </c>
      <c r="R114" s="575"/>
      <c r="S114" s="575" t="s">
        <v>863</v>
      </c>
      <c r="T114" s="613"/>
      <c r="U114" s="575"/>
      <c r="V114" s="614"/>
      <c r="W114" s="614" t="s">
        <v>864</v>
      </c>
      <c r="X114" s="232"/>
      <c r="Y114" s="615"/>
      <c r="Z114" s="575"/>
      <c r="AA114" s="616"/>
      <c r="AB114" s="575"/>
      <c r="AC114" s="613">
        <v>1</v>
      </c>
      <c r="AD114" s="613">
        <v>1</v>
      </c>
      <c r="AMD114" s="224"/>
    </row>
    <row r="115" spans="1:1018" s="251" customFormat="1" ht="12.95" customHeight="1">
      <c r="A115" s="225">
        <v>101</v>
      </c>
      <c r="B115" s="217"/>
      <c r="C115" s="241"/>
      <c r="D115" s="610" t="s">
        <v>1374</v>
      </c>
      <c r="E115" s="610"/>
      <c r="F115" s="241"/>
      <c r="G115" s="241"/>
      <c r="H115" s="575" t="s">
        <v>1375</v>
      </c>
      <c r="I115" s="611"/>
      <c r="J115" s="575" t="s">
        <v>1376</v>
      </c>
      <c r="K115" s="611"/>
      <c r="L115" s="575"/>
      <c r="M115" s="575"/>
      <c r="N115" s="575"/>
      <c r="O115" s="575"/>
      <c r="P115" s="612"/>
      <c r="Q115" s="575" t="s">
        <v>817</v>
      </c>
      <c r="R115" s="575"/>
      <c r="S115" s="575" t="s">
        <v>863</v>
      </c>
      <c r="T115" s="613"/>
      <c r="U115" s="575"/>
      <c r="V115" s="614"/>
      <c r="W115" s="614" t="s">
        <v>864</v>
      </c>
      <c r="X115" s="232"/>
      <c r="Y115" s="615"/>
      <c r="Z115" s="575"/>
      <c r="AA115" s="616"/>
      <c r="AB115" s="575"/>
      <c r="AC115" s="613">
        <v>1</v>
      </c>
      <c r="AD115" s="613">
        <v>1</v>
      </c>
      <c r="AMD115" s="224"/>
    </row>
    <row r="116" spans="1:1018" s="224" customFormat="1" ht="13.5" customHeight="1">
      <c r="A116" s="225">
        <v>102</v>
      </c>
      <c r="B116" s="217" t="s">
        <v>1377</v>
      </c>
      <c r="C116" s="216"/>
      <c r="D116" s="241"/>
      <c r="E116" s="241"/>
      <c r="F116" s="241"/>
      <c r="G116" s="241"/>
      <c r="H116" s="575" t="s">
        <v>1378</v>
      </c>
      <c r="I116" s="611" t="s">
        <v>1329</v>
      </c>
      <c r="J116" s="575"/>
      <c r="K116" s="611" t="s">
        <v>1379</v>
      </c>
      <c r="L116" s="575"/>
      <c r="M116" s="575"/>
      <c r="N116" s="575"/>
      <c r="O116" s="575"/>
      <c r="P116" s="612"/>
      <c r="Q116" s="575" t="s">
        <v>820</v>
      </c>
      <c r="R116" s="575"/>
      <c r="S116" s="575" t="s">
        <v>863</v>
      </c>
      <c r="T116" s="613"/>
      <c r="U116" s="619"/>
      <c r="V116" s="614"/>
      <c r="W116" s="614" t="s">
        <v>864</v>
      </c>
      <c r="X116" s="232"/>
      <c r="Y116" s="380" t="s">
        <v>1380</v>
      </c>
      <c r="Z116" s="386" t="s">
        <v>1335</v>
      </c>
      <c r="AA116" s="616"/>
      <c r="AB116" s="575"/>
      <c r="AC116" s="613"/>
      <c r="AD116" s="613">
        <v>1</v>
      </c>
    </row>
    <row r="117" spans="1:1018" s="224" customFormat="1" ht="13.5" customHeight="1">
      <c r="A117" s="225">
        <v>103</v>
      </c>
      <c r="B117" s="217" t="s">
        <v>1381</v>
      </c>
      <c r="C117" s="216"/>
      <c r="D117" s="216"/>
      <c r="E117" s="216"/>
      <c r="F117" s="216"/>
      <c r="G117" s="216"/>
      <c r="H117" s="575" t="s">
        <v>1382</v>
      </c>
      <c r="I117" s="618"/>
      <c r="J117" s="575"/>
      <c r="K117" s="611" t="s">
        <v>1383</v>
      </c>
      <c r="L117" s="575"/>
      <c r="M117" s="575"/>
      <c r="N117" s="575"/>
      <c r="O117" s="575"/>
      <c r="P117" s="612"/>
      <c r="Q117" s="575" t="s">
        <v>823</v>
      </c>
      <c r="R117" s="575" t="s">
        <v>864</v>
      </c>
      <c r="S117" s="379" t="s">
        <v>1383</v>
      </c>
      <c r="T117" s="613"/>
      <c r="U117" s="622"/>
      <c r="V117" s="614"/>
      <c r="W117" s="260" t="s">
        <v>864</v>
      </c>
      <c r="X117" s="232"/>
      <c r="Y117" s="615"/>
      <c r="Z117" s="575"/>
      <c r="AA117" s="616"/>
      <c r="AB117" s="575"/>
      <c r="AC117" s="613"/>
      <c r="AD117" s="613">
        <v>1</v>
      </c>
    </row>
    <row r="118" spans="1:1018" s="224" customFormat="1" ht="13.5" customHeight="1">
      <c r="A118" s="225">
        <v>104</v>
      </c>
      <c r="B118" s="216"/>
      <c r="C118" s="241" t="s">
        <v>1291</v>
      </c>
      <c r="D118" s="241"/>
      <c r="E118" s="241"/>
      <c r="F118" s="241"/>
      <c r="G118" s="241"/>
      <c r="H118" s="575" t="s">
        <v>1384</v>
      </c>
      <c r="I118" s="618"/>
      <c r="J118" s="575"/>
      <c r="K118" s="611" t="s">
        <v>1290</v>
      </c>
      <c r="L118" s="575"/>
      <c r="M118" s="575"/>
      <c r="N118" s="575"/>
      <c r="O118" s="575"/>
      <c r="P118" s="612"/>
      <c r="Q118" s="383" t="s">
        <v>817</v>
      </c>
      <c r="R118" s="575" t="s">
        <v>864</v>
      </c>
      <c r="S118" s="379" t="s">
        <v>1290</v>
      </c>
      <c r="T118" s="613"/>
      <c r="U118" s="613"/>
      <c r="V118" s="614"/>
      <c r="W118" s="260" t="s">
        <v>864</v>
      </c>
      <c r="X118" s="232"/>
      <c r="Y118" s="385" t="s">
        <v>1385</v>
      </c>
      <c r="Z118" s="575"/>
      <c r="AA118" s="616"/>
      <c r="AB118" s="575"/>
      <c r="AC118" s="613"/>
      <c r="AD118" s="613">
        <v>1</v>
      </c>
    </row>
    <row r="119" spans="1:1018" s="224" customFormat="1" ht="13.5" customHeight="1">
      <c r="A119" s="225">
        <v>105</v>
      </c>
      <c r="B119" s="216"/>
      <c r="C119" s="241" t="s">
        <v>831</v>
      </c>
      <c r="D119" s="241"/>
      <c r="E119" s="241"/>
      <c r="F119" s="241"/>
      <c r="G119" s="241"/>
      <c r="H119" s="575" t="s">
        <v>1386</v>
      </c>
      <c r="I119" s="618"/>
      <c r="J119" s="575"/>
      <c r="K119" s="611" t="s">
        <v>1205</v>
      </c>
      <c r="L119" s="575"/>
      <c r="M119" s="575"/>
      <c r="N119" s="575"/>
      <c r="O119" s="575"/>
      <c r="P119" s="612"/>
      <c r="Q119" s="575" t="s">
        <v>817</v>
      </c>
      <c r="R119" s="575"/>
      <c r="S119" s="575" t="s">
        <v>863</v>
      </c>
      <c r="T119" s="613"/>
      <c r="U119" s="622"/>
      <c r="V119" s="614"/>
      <c r="W119" s="260" t="s">
        <v>864</v>
      </c>
      <c r="X119" s="232"/>
      <c r="Y119" s="615"/>
      <c r="Z119" s="575"/>
      <c r="AA119" s="616"/>
      <c r="AB119" s="575"/>
      <c r="AC119" s="613"/>
      <c r="AD119" s="613">
        <v>1</v>
      </c>
    </row>
    <row r="120" spans="1:1018" s="224" customFormat="1" ht="13.5" customHeight="1">
      <c r="A120" s="225">
        <v>106</v>
      </c>
      <c r="B120" s="217"/>
      <c r="C120" s="241" t="s">
        <v>1387</v>
      </c>
      <c r="D120" s="241"/>
      <c r="E120" s="241"/>
      <c r="F120" s="241"/>
      <c r="G120" s="241"/>
      <c r="H120" s="575" t="s">
        <v>1388</v>
      </c>
      <c r="I120" s="618" t="s">
        <v>1389</v>
      </c>
      <c r="J120" s="575"/>
      <c r="K120" s="611" t="s">
        <v>1340</v>
      </c>
      <c r="L120" s="575"/>
      <c r="M120" s="575"/>
      <c r="N120" s="575"/>
      <c r="O120" s="575"/>
      <c r="P120" s="612"/>
      <c r="Q120" s="575" t="s">
        <v>820</v>
      </c>
      <c r="R120" s="575"/>
      <c r="S120" s="575" t="s">
        <v>863</v>
      </c>
      <c r="T120" s="613"/>
      <c r="U120" s="613"/>
      <c r="V120" s="614"/>
      <c r="W120" s="614" t="s">
        <v>864</v>
      </c>
      <c r="X120" s="232"/>
      <c r="Y120" s="615"/>
      <c r="Z120" s="575"/>
      <c r="AA120" s="616"/>
      <c r="AB120" s="575"/>
      <c r="AC120" s="613"/>
      <c r="AD120" s="613">
        <v>1</v>
      </c>
    </row>
    <row r="121" spans="1:1018" s="224" customFormat="1" ht="14.25" customHeight="1">
      <c r="A121" s="225">
        <v>107</v>
      </c>
      <c r="B121" s="217" t="s">
        <v>1390</v>
      </c>
      <c r="C121" s="217"/>
      <c r="D121" s="217"/>
      <c r="E121" s="217"/>
      <c r="F121" s="217"/>
      <c r="G121" s="217"/>
      <c r="H121" s="575" t="s">
        <v>1391</v>
      </c>
      <c r="I121" s="618"/>
      <c r="J121" s="575"/>
      <c r="K121" s="611" t="s">
        <v>1392</v>
      </c>
      <c r="L121" s="575"/>
      <c r="M121" s="575"/>
      <c r="N121" s="575"/>
      <c r="O121" s="575"/>
      <c r="P121" s="612"/>
      <c r="Q121" s="575" t="s">
        <v>823</v>
      </c>
      <c r="R121" s="575" t="s">
        <v>864</v>
      </c>
      <c r="S121" s="379" t="s">
        <v>1392</v>
      </c>
      <c r="T121" s="613"/>
      <c r="U121" s="259"/>
      <c r="V121" s="260"/>
      <c r="W121" s="260" t="s">
        <v>864</v>
      </c>
      <c r="X121" s="232"/>
      <c r="Y121" s="615"/>
      <c r="Z121" s="575"/>
      <c r="AA121" s="245"/>
      <c r="AB121" s="575"/>
      <c r="AC121" s="613"/>
      <c r="AD121" s="613">
        <v>1</v>
      </c>
    </row>
    <row r="122" spans="1:1018" s="224" customFormat="1" ht="13.5" customHeight="1">
      <c r="A122" s="225">
        <v>108</v>
      </c>
      <c r="B122" s="217"/>
      <c r="C122" s="217" t="s">
        <v>1393</v>
      </c>
      <c r="D122" s="241"/>
      <c r="E122" s="219"/>
      <c r="F122" s="241"/>
      <c r="G122" s="241"/>
      <c r="H122" s="575" t="s">
        <v>1394</v>
      </c>
      <c r="I122" s="618"/>
      <c r="J122" s="575"/>
      <c r="K122" s="611" t="s">
        <v>1205</v>
      </c>
      <c r="L122" s="575"/>
      <c r="M122" s="575"/>
      <c r="N122" s="575"/>
      <c r="O122" s="575"/>
      <c r="P122" s="612"/>
      <c r="Q122" s="575" t="s">
        <v>820</v>
      </c>
      <c r="R122" s="575"/>
      <c r="S122" s="611" t="s">
        <v>863</v>
      </c>
      <c r="T122" s="613"/>
      <c r="U122" s="613"/>
      <c r="V122" s="614"/>
      <c r="W122" s="260" t="s">
        <v>864</v>
      </c>
      <c r="X122" s="232"/>
      <c r="Y122" s="266" t="s">
        <v>1395</v>
      </c>
      <c r="Z122" s="575" t="s">
        <v>1396</v>
      </c>
      <c r="AA122" s="616"/>
      <c r="AB122" s="575"/>
      <c r="AC122" s="613"/>
      <c r="AD122" s="613">
        <v>1</v>
      </c>
    </row>
    <row r="123" spans="1:1018" s="224" customFormat="1" ht="13.5" customHeight="1">
      <c r="A123" s="225">
        <v>109</v>
      </c>
      <c r="B123" s="217"/>
      <c r="C123" s="217" t="s">
        <v>1397</v>
      </c>
      <c r="D123" s="219"/>
      <c r="E123" s="219"/>
      <c r="F123" s="219"/>
      <c r="G123" s="219"/>
      <c r="H123" s="575"/>
      <c r="I123" s="618"/>
      <c r="J123" s="575"/>
      <c r="K123" s="611" t="s">
        <v>1398</v>
      </c>
      <c r="L123" s="575"/>
      <c r="M123" s="575"/>
      <c r="N123" s="575"/>
      <c r="O123" s="575"/>
      <c r="P123" s="612"/>
      <c r="Q123" s="575" t="s">
        <v>817</v>
      </c>
      <c r="R123" s="575" t="s">
        <v>864</v>
      </c>
      <c r="S123" s="243" t="s">
        <v>1398</v>
      </c>
      <c r="T123" s="613"/>
      <c r="U123" s="613"/>
      <c r="V123" s="260"/>
      <c r="W123" s="260" t="s">
        <v>864</v>
      </c>
      <c r="X123" s="232"/>
      <c r="Y123" s="615"/>
      <c r="Z123" s="575"/>
      <c r="AA123" s="245"/>
      <c r="AB123" s="575"/>
      <c r="AC123" s="613"/>
      <c r="AD123" s="613">
        <v>1</v>
      </c>
    </row>
    <row r="124" spans="1:1018" s="224" customFormat="1" ht="13.5" customHeight="1">
      <c r="A124" s="225">
        <v>110</v>
      </c>
      <c r="B124" s="217"/>
      <c r="C124" s="217"/>
      <c r="D124" s="241" t="s">
        <v>1399</v>
      </c>
      <c r="E124" s="219"/>
      <c r="F124" s="219"/>
      <c r="G124" s="219"/>
      <c r="H124" s="575" t="s">
        <v>1400</v>
      </c>
      <c r="I124" s="618"/>
      <c r="J124" s="575"/>
      <c r="K124" s="611" t="s">
        <v>1401</v>
      </c>
      <c r="L124" s="575"/>
      <c r="M124" s="575"/>
      <c r="N124" s="575"/>
      <c r="O124" s="575"/>
      <c r="P124" s="612"/>
      <c r="Q124" s="575" t="s">
        <v>823</v>
      </c>
      <c r="R124" s="575" t="s">
        <v>864</v>
      </c>
      <c r="S124" s="379" t="s">
        <v>1401</v>
      </c>
      <c r="T124" s="613"/>
      <c r="U124" s="613"/>
      <c r="V124" s="614"/>
      <c r="W124" s="260" t="s">
        <v>864</v>
      </c>
      <c r="X124" s="232"/>
      <c r="Y124" s="615"/>
      <c r="Z124" s="575"/>
      <c r="AA124" s="616"/>
      <c r="AB124" s="575"/>
      <c r="AC124" s="613"/>
      <c r="AD124" s="613">
        <v>1</v>
      </c>
    </row>
    <row r="125" spans="1:1018" s="224" customFormat="1" ht="13.5" customHeight="1">
      <c r="A125" s="225">
        <v>111</v>
      </c>
      <c r="B125" s="217"/>
      <c r="C125" s="217"/>
      <c r="D125" s="241"/>
      <c r="E125" s="241" t="s">
        <v>1058</v>
      </c>
      <c r="F125" s="241"/>
      <c r="G125" s="241"/>
      <c r="H125" s="575" t="s">
        <v>1059</v>
      </c>
      <c r="I125" s="618" t="s">
        <v>1402</v>
      </c>
      <c r="J125" s="575"/>
      <c r="K125" s="611" t="s">
        <v>908</v>
      </c>
      <c r="L125" s="575"/>
      <c r="M125" s="575"/>
      <c r="N125" s="575"/>
      <c r="O125" s="575"/>
      <c r="P125" s="612"/>
      <c r="Q125" s="575" t="s">
        <v>820</v>
      </c>
      <c r="R125" s="575"/>
      <c r="S125" s="575" t="s">
        <v>863</v>
      </c>
      <c r="T125" s="613"/>
      <c r="U125" s="613" t="s">
        <v>1403</v>
      </c>
      <c r="V125" s="260"/>
      <c r="W125" s="260" t="s">
        <v>864</v>
      </c>
      <c r="X125" s="232"/>
      <c r="Y125" s="266" t="s">
        <v>1062</v>
      </c>
      <c r="Z125" s="575" t="s">
        <v>1063</v>
      </c>
      <c r="AA125" s="245"/>
      <c r="AB125" s="575"/>
      <c r="AC125" s="613"/>
      <c r="AD125" s="613">
        <v>1</v>
      </c>
    </row>
    <row r="126" spans="1:1018" s="224" customFormat="1" ht="13.5" customHeight="1">
      <c r="A126" s="225">
        <v>112</v>
      </c>
      <c r="B126" s="217"/>
      <c r="C126" s="217"/>
      <c r="D126" s="241"/>
      <c r="E126" s="241" t="s">
        <v>1064</v>
      </c>
      <c r="F126" s="241"/>
      <c r="G126" s="241"/>
      <c r="H126" s="575" t="s">
        <v>1065</v>
      </c>
      <c r="I126" s="618" t="s">
        <v>1347</v>
      </c>
      <c r="J126" s="575"/>
      <c r="K126" s="611" t="s">
        <v>1067</v>
      </c>
      <c r="L126" s="575"/>
      <c r="M126" s="575"/>
      <c r="N126" s="575"/>
      <c r="O126" s="575"/>
      <c r="P126" s="612"/>
      <c r="Q126" s="575" t="s">
        <v>820</v>
      </c>
      <c r="R126" s="575"/>
      <c r="S126" s="575" t="s">
        <v>863</v>
      </c>
      <c r="T126" s="613"/>
      <c r="U126" s="613"/>
      <c r="V126" s="260"/>
      <c r="W126" s="260" t="s">
        <v>864</v>
      </c>
      <c r="X126" s="232"/>
      <c r="Y126" s="615"/>
      <c r="Z126" s="575"/>
      <c r="AA126" s="245"/>
      <c r="AB126" s="575"/>
      <c r="AC126" s="613"/>
      <c r="AD126" s="613">
        <v>1</v>
      </c>
    </row>
    <row r="127" spans="1:1018" s="224" customFormat="1" ht="13.5" customHeight="1">
      <c r="A127" s="225">
        <v>113</v>
      </c>
      <c r="B127" s="217"/>
      <c r="C127" s="217"/>
      <c r="D127" s="217" t="s">
        <v>1246</v>
      </c>
      <c r="E127" s="219" t="s">
        <v>1262</v>
      </c>
      <c r="F127" s="241"/>
      <c r="G127" s="241"/>
      <c r="H127" s="575" t="s">
        <v>1404</v>
      </c>
      <c r="I127" s="618"/>
      <c r="J127" s="575"/>
      <c r="K127" s="611" t="s">
        <v>1251</v>
      </c>
      <c r="L127" s="575"/>
      <c r="M127" s="575"/>
      <c r="N127" s="575"/>
      <c r="O127" s="575"/>
      <c r="P127" s="612"/>
      <c r="Q127" s="575" t="s">
        <v>823</v>
      </c>
      <c r="R127" s="575" t="s">
        <v>864</v>
      </c>
      <c r="S127" s="243" t="s">
        <v>1251</v>
      </c>
      <c r="T127" s="613"/>
      <c r="U127" s="613"/>
      <c r="V127" s="260"/>
      <c r="W127" s="260" t="s">
        <v>864</v>
      </c>
      <c r="X127" s="232"/>
      <c r="Y127" s="384" t="s">
        <v>1405</v>
      </c>
      <c r="Z127" s="390" t="s">
        <v>1406</v>
      </c>
      <c r="AA127" s="245" t="s">
        <v>1252</v>
      </c>
      <c r="AB127" s="575"/>
      <c r="AC127" s="613"/>
      <c r="AD127" s="613">
        <v>1</v>
      </c>
    </row>
    <row r="128" spans="1:1018" s="224" customFormat="1" ht="13.5" customHeight="1">
      <c r="A128" s="225">
        <v>114</v>
      </c>
      <c r="B128" s="217"/>
      <c r="C128" s="217"/>
      <c r="D128" s="217" t="s">
        <v>1407</v>
      </c>
      <c r="E128" s="241"/>
      <c r="F128" s="241"/>
      <c r="G128" s="241"/>
      <c r="H128" s="575" t="s">
        <v>1408</v>
      </c>
      <c r="I128" s="618"/>
      <c r="J128" s="575"/>
      <c r="K128" s="611" t="s">
        <v>1409</v>
      </c>
      <c r="L128" s="575"/>
      <c r="M128" s="575"/>
      <c r="N128" s="575"/>
      <c r="O128" s="575"/>
      <c r="P128" s="612"/>
      <c r="Q128" s="575" t="s">
        <v>817</v>
      </c>
      <c r="R128" s="575" t="s">
        <v>864</v>
      </c>
      <c r="S128" s="379" t="s">
        <v>1409</v>
      </c>
      <c r="T128" s="613"/>
      <c r="U128" s="613"/>
      <c r="V128" s="260"/>
      <c r="W128" s="260" t="s">
        <v>864</v>
      </c>
      <c r="X128" s="232"/>
      <c r="Y128" s="615"/>
      <c r="Z128" s="575"/>
      <c r="AA128" s="245"/>
      <c r="AB128" s="575"/>
      <c r="AC128" s="613"/>
      <c r="AD128" s="613">
        <v>1</v>
      </c>
    </row>
    <row r="129" spans="1:30" s="224" customFormat="1" ht="13.5" customHeight="1">
      <c r="A129" s="225">
        <v>115</v>
      </c>
      <c r="B129" s="217"/>
      <c r="C129" s="217"/>
      <c r="D129" s="217"/>
      <c r="E129" s="217" t="s">
        <v>1068</v>
      </c>
      <c r="F129" s="219" t="s">
        <v>1410</v>
      </c>
      <c r="G129" s="241"/>
      <c r="H129" s="575"/>
      <c r="I129" s="618"/>
      <c r="J129" s="575"/>
      <c r="K129" s="611" t="s">
        <v>1069</v>
      </c>
      <c r="L129" s="575"/>
      <c r="M129" s="575"/>
      <c r="N129" s="575"/>
      <c r="O129" s="575"/>
      <c r="P129" s="612"/>
      <c r="Q129" s="575" t="s">
        <v>817</v>
      </c>
      <c r="R129" s="575" t="s">
        <v>864</v>
      </c>
      <c r="S129" s="243" t="s">
        <v>1069</v>
      </c>
      <c r="T129" s="613"/>
      <c r="U129" s="613"/>
      <c r="V129" s="260"/>
      <c r="W129" s="260" t="s">
        <v>864</v>
      </c>
      <c r="X129" s="232"/>
      <c r="Y129" s="615"/>
      <c r="Z129" s="575"/>
      <c r="AA129" s="245"/>
      <c r="AB129" s="575"/>
      <c r="AC129" s="613"/>
      <c r="AD129" s="613">
        <v>1</v>
      </c>
    </row>
    <row r="130" spans="1:30" s="224" customFormat="1" ht="13.5" customHeight="1">
      <c r="A130" s="225">
        <v>116</v>
      </c>
      <c r="B130" s="217"/>
      <c r="C130" s="217"/>
      <c r="D130" s="217"/>
      <c r="E130" s="217" t="s">
        <v>1093</v>
      </c>
      <c r="F130" s="219" t="s">
        <v>1411</v>
      </c>
      <c r="G130" s="241"/>
      <c r="H130" s="575"/>
      <c r="I130" s="618"/>
      <c r="J130" s="575"/>
      <c r="K130" s="611" t="s">
        <v>1094</v>
      </c>
      <c r="L130" s="575"/>
      <c r="M130" s="575"/>
      <c r="N130" s="575"/>
      <c r="O130" s="575"/>
      <c r="P130" s="612"/>
      <c r="Q130" s="575" t="s">
        <v>817</v>
      </c>
      <c r="R130" s="575" t="s">
        <v>864</v>
      </c>
      <c r="S130" s="243" t="s">
        <v>1094</v>
      </c>
      <c r="T130" s="613"/>
      <c r="U130" s="613"/>
      <c r="V130" s="260"/>
      <c r="W130" s="260" t="s">
        <v>864</v>
      </c>
      <c r="X130" s="232"/>
      <c r="Y130" s="615"/>
      <c r="Z130" s="575"/>
      <c r="AA130" s="245"/>
      <c r="AB130" s="575"/>
      <c r="AC130" s="613"/>
      <c r="AD130" s="613">
        <v>1</v>
      </c>
    </row>
    <row r="131" spans="1:30" s="224" customFormat="1" ht="13.5" customHeight="1">
      <c r="A131" s="225">
        <v>117</v>
      </c>
      <c r="B131" s="217"/>
      <c r="C131" s="217"/>
      <c r="D131" s="217" t="s">
        <v>1412</v>
      </c>
      <c r="E131" s="241"/>
      <c r="F131" s="241"/>
      <c r="G131" s="241"/>
      <c r="H131" s="575"/>
      <c r="I131" s="618"/>
      <c r="J131" s="575"/>
      <c r="K131" s="611" t="s">
        <v>1413</v>
      </c>
      <c r="L131" s="575"/>
      <c r="M131" s="575"/>
      <c r="N131" s="575"/>
      <c r="O131" s="575"/>
      <c r="P131" s="612"/>
      <c r="Q131" s="575" t="s">
        <v>817</v>
      </c>
      <c r="R131" s="575" t="s">
        <v>864</v>
      </c>
      <c r="S131" s="379" t="s">
        <v>1413</v>
      </c>
      <c r="T131" s="613"/>
      <c r="U131" s="613"/>
      <c r="V131" s="260"/>
      <c r="W131" s="260" t="s">
        <v>864</v>
      </c>
      <c r="X131" s="232"/>
      <c r="Y131" s="615"/>
      <c r="Z131" s="615" t="s">
        <v>1414</v>
      </c>
      <c r="AA131" s="245"/>
      <c r="AB131" s="575"/>
      <c r="AC131" s="613"/>
      <c r="AD131" s="613">
        <v>1</v>
      </c>
    </row>
    <row r="132" spans="1:30" s="224" customFormat="1" ht="13.5" customHeight="1">
      <c r="A132" s="225">
        <v>118</v>
      </c>
      <c r="B132" s="217"/>
      <c r="C132" s="217"/>
      <c r="D132" s="217"/>
      <c r="E132" s="241" t="s">
        <v>1291</v>
      </c>
      <c r="F132" s="241"/>
      <c r="G132" s="241"/>
      <c r="H132" s="575" t="s">
        <v>1415</v>
      </c>
      <c r="I132" s="618"/>
      <c r="J132" s="575"/>
      <c r="K132" s="611" t="s">
        <v>1290</v>
      </c>
      <c r="L132" s="575"/>
      <c r="M132" s="575"/>
      <c r="N132" s="575"/>
      <c r="O132" s="575"/>
      <c r="P132" s="612"/>
      <c r="Q132" s="575" t="s">
        <v>820</v>
      </c>
      <c r="R132" s="575" t="s">
        <v>864</v>
      </c>
      <c r="S132" s="243" t="s">
        <v>1290</v>
      </c>
      <c r="T132" s="613"/>
      <c r="U132" s="613"/>
      <c r="V132" s="260"/>
      <c r="W132" s="260" t="s">
        <v>864</v>
      </c>
      <c r="X132" s="232"/>
      <c r="Y132" s="615"/>
      <c r="Z132" s="575"/>
      <c r="AA132" s="245"/>
      <c r="AB132" s="575"/>
      <c r="AC132" s="613"/>
      <c r="AD132" s="613">
        <v>1</v>
      </c>
    </row>
    <row r="133" spans="1:30" s="224" customFormat="1" ht="13.5" customHeight="1">
      <c r="A133" s="225">
        <v>119</v>
      </c>
      <c r="B133" s="217"/>
      <c r="C133" s="217"/>
      <c r="D133" s="217"/>
      <c r="E133" s="241" t="s">
        <v>1416</v>
      </c>
      <c r="F133" s="241"/>
      <c r="G133" s="241"/>
      <c r="H133" s="575" t="s">
        <v>1417</v>
      </c>
      <c r="I133" s="618">
        <v>10000668540</v>
      </c>
      <c r="J133" s="575"/>
      <c r="K133" s="611" t="s">
        <v>1205</v>
      </c>
      <c r="L133" s="575"/>
      <c r="M133" s="575"/>
      <c r="N133" s="575"/>
      <c r="O133" s="575"/>
      <c r="P133" s="612"/>
      <c r="Q133" s="575" t="s">
        <v>817</v>
      </c>
      <c r="R133" s="575"/>
      <c r="S133" s="575" t="s">
        <v>863</v>
      </c>
      <c r="T133" s="613"/>
      <c r="U133" s="374"/>
      <c r="V133" s="260"/>
      <c r="W133" s="260" t="s">
        <v>864</v>
      </c>
      <c r="X133" s="232"/>
      <c r="Y133" s="380" t="s">
        <v>1418</v>
      </c>
      <c r="Z133" s="575" t="s">
        <v>1419</v>
      </c>
      <c r="AA133" s="245"/>
      <c r="AB133" s="575"/>
      <c r="AC133" s="613"/>
      <c r="AD133" s="613">
        <v>1</v>
      </c>
    </row>
    <row r="134" spans="1:30" s="224" customFormat="1" ht="13.5" customHeight="1">
      <c r="A134" s="225">
        <v>120</v>
      </c>
      <c r="B134" s="217"/>
      <c r="C134" s="217"/>
      <c r="D134" s="241"/>
      <c r="E134" s="241" t="s">
        <v>1420</v>
      </c>
      <c r="F134" s="219" t="s">
        <v>1421</v>
      </c>
      <c r="G134" s="241"/>
      <c r="H134" s="575"/>
      <c r="I134" s="618"/>
      <c r="J134" s="575"/>
      <c r="K134" s="611" t="s">
        <v>1409</v>
      </c>
      <c r="L134" s="575"/>
      <c r="M134" s="575"/>
      <c r="N134" s="575"/>
      <c r="O134" s="575"/>
      <c r="P134" s="612"/>
      <c r="Q134" s="575" t="s">
        <v>817</v>
      </c>
      <c r="R134" s="575" t="s">
        <v>864</v>
      </c>
      <c r="S134" s="379" t="s">
        <v>1409</v>
      </c>
      <c r="T134" s="613"/>
      <c r="U134" s="613"/>
      <c r="V134" s="614"/>
      <c r="W134" s="614" t="s">
        <v>864</v>
      </c>
      <c r="X134" s="232"/>
      <c r="Y134" s="615"/>
      <c r="Z134" s="575"/>
      <c r="AA134" s="616"/>
      <c r="AB134" s="575"/>
      <c r="AC134" s="613"/>
      <c r="AD134" s="613">
        <v>1</v>
      </c>
    </row>
    <row r="135" spans="1:30" s="224" customFormat="1" ht="13.5" customHeight="1">
      <c r="A135" s="225">
        <v>121</v>
      </c>
      <c r="B135" s="217"/>
      <c r="C135" s="217"/>
      <c r="D135" s="217"/>
      <c r="E135" s="217" t="s">
        <v>1422</v>
      </c>
      <c r="F135" s="219" t="s">
        <v>1262</v>
      </c>
      <c r="G135" s="241"/>
      <c r="H135" s="575" t="s">
        <v>1404</v>
      </c>
      <c r="I135" s="618"/>
      <c r="J135" s="575"/>
      <c r="K135" s="611" t="s">
        <v>1251</v>
      </c>
      <c r="L135" s="575"/>
      <c r="M135" s="575"/>
      <c r="N135" s="575"/>
      <c r="O135" s="575"/>
      <c r="P135" s="612"/>
      <c r="Q135" s="575" t="s">
        <v>823</v>
      </c>
      <c r="R135" s="575" t="s">
        <v>864</v>
      </c>
      <c r="S135" s="243" t="s">
        <v>1251</v>
      </c>
      <c r="T135" s="613"/>
      <c r="U135" s="259"/>
      <c r="V135" s="260"/>
      <c r="W135" s="260" t="s">
        <v>864</v>
      </c>
      <c r="X135" s="232"/>
      <c r="Y135" s="615"/>
      <c r="Z135" s="575"/>
      <c r="AA135" s="245" t="s">
        <v>1252</v>
      </c>
      <c r="AB135" s="575"/>
      <c r="AC135" s="613"/>
      <c r="AD135" s="613">
        <v>1</v>
      </c>
    </row>
    <row r="136" spans="1:30" s="224" customFormat="1" ht="13.5" customHeight="1">
      <c r="A136" s="225">
        <v>122</v>
      </c>
      <c r="B136" s="217"/>
      <c r="C136" s="217" t="s">
        <v>1423</v>
      </c>
      <c r="D136" s="241"/>
      <c r="E136" s="241"/>
      <c r="F136" s="241"/>
      <c r="G136" s="241"/>
      <c r="H136" s="575" t="s">
        <v>1424</v>
      </c>
      <c r="I136" s="618"/>
      <c r="J136" s="575"/>
      <c r="K136" s="611" t="s">
        <v>1425</v>
      </c>
      <c r="L136" s="575"/>
      <c r="M136" s="575"/>
      <c r="N136" s="575"/>
      <c r="O136" s="575"/>
      <c r="P136" s="612"/>
      <c r="Q136" s="575" t="s">
        <v>817</v>
      </c>
      <c r="R136" s="575" t="s">
        <v>864</v>
      </c>
      <c r="S136" s="243" t="s">
        <v>1426</v>
      </c>
      <c r="T136" s="613"/>
      <c r="U136" s="613"/>
      <c r="V136" s="260"/>
      <c r="W136" s="260" t="s">
        <v>864</v>
      </c>
      <c r="X136" s="232"/>
      <c r="Y136" s="615"/>
      <c r="Z136" s="575"/>
      <c r="AA136" s="245"/>
      <c r="AB136" s="575"/>
      <c r="AC136" s="613"/>
      <c r="AD136" s="613">
        <v>1</v>
      </c>
    </row>
    <row r="137" spans="1:30" s="224" customFormat="1" ht="13.5" customHeight="1">
      <c r="A137" s="225">
        <v>123</v>
      </c>
      <c r="B137" s="217"/>
      <c r="C137" s="217"/>
      <c r="D137" s="217" t="s">
        <v>1427</v>
      </c>
      <c r="E137" s="241"/>
      <c r="F137" s="241"/>
      <c r="G137" s="241"/>
      <c r="H137" s="575" t="s">
        <v>1428</v>
      </c>
      <c r="I137" s="618"/>
      <c r="J137" s="575"/>
      <c r="K137" s="611" t="s">
        <v>1429</v>
      </c>
      <c r="L137" s="575"/>
      <c r="M137" s="575"/>
      <c r="N137" s="575"/>
      <c r="O137" s="575"/>
      <c r="P137" s="612"/>
      <c r="Q137" s="575" t="s">
        <v>817</v>
      </c>
      <c r="R137" s="575" t="s">
        <v>864</v>
      </c>
      <c r="S137" s="243" t="s">
        <v>1430</v>
      </c>
      <c r="T137" s="613"/>
      <c r="U137" s="259"/>
      <c r="V137" s="260"/>
      <c r="W137" s="260" t="s">
        <v>864</v>
      </c>
      <c r="X137" s="232"/>
      <c r="Y137" s="615"/>
      <c r="Z137" s="575"/>
      <c r="AA137" s="245"/>
      <c r="AB137" s="575"/>
      <c r="AC137" s="613"/>
      <c r="AD137" s="613">
        <v>1</v>
      </c>
    </row>
    <row r="138" spans="1:30" s="224" customFormat="1" ht="13.5" customHeight="1">
      <c r="A138" s="225">
        <v>124</v>
      </c>
      <c r="B138" s="217"/>
      <c r="C138" s="217"/>
      <c r="D138" s="217"/>
      <c r="E138" s="241" t="s">
        <v>1431</v>
      </c>
      <c r="F138" s="241"/>
      <c r="G138" s="241"/>
      <c r="H138" s="575" t="s">
        <v>1428</v>
      </c>
      <c r="I138" s="618"/>
      <c r="J138" s="575"/>
      <c r="K138" s="611" t="s">
        <v>888</v>
      </c>
      <c r="L138" s="575"/>
      <c r="M138" s="575"/>
      <c r="N138" s="575"/>
      <c r="O138" s="575"/>
      <c r="P138" s="612"/>
      <c r="Q138" s="575" t="s">
        <v>817</v>
      </c>
      <c r="R138" s="575"/>
      <c r="S138" s="575" t="s">
        <v>863</v>
      </c>
      <c r="T138" s="613"/>
      <c r="U138" s="261" t="s">
        <v>1432</v>
      </c>
      <c r="V138" s="614"/>
      <c r="W138" s="260" t="s">
        <v>864</v>
      </c>
      <c r="X138" s="232"/>
      <c r="Y138" s="266" t="s">
        <v>1433</v>
      </c>
      <c r="Z138" s="386" t="s">
        <v>1434</v>
      </c>
      <c r="AA138" s="245"/>
      <c r="AB138" s="575"/>
      <c r="AC138" s="613"/>
      <c r="AD138" s="613">
        <v>1</v>
      </c>
    </row>
    <row r="139" spans="1:30" s="224" customFormat="1" ht="13.5" customHeight="1">
      <c r="A139" s="225">
        <v>125</v>
      </c>
      <c r="B139" s="217"/>
      <c r="C139" s="217"/>
      <c r="D139" s="217"/>
      <c r="E139" s="241" t="s">
        <v>1435</v>
      </c>
      <c r="F139" s="241"/>
      <c r="G139" s="241"/>
      <c r="H139" s="575" t="s">
        <v>1436</v>
      </c>
      <c r="I139" s="618"/>
      <c r="J139" s="575"/>
      <c r="K139" s="611" t="s">
        <v>1437</v>
      </c>
      <c r="L139" s="575"/>
      <c r="M139" s="575"/>
      <c r="N139" s="575"/>
      <c r="O139" s="575"/>
      <c r="P139" s="612"/>
      <c r="Q139" s="575" t="s">
        <v>817</v>
      </c>
      <c r="R139" s="575"/>
      <c r="S139" s="575" t="s">
        <v>863</v>
      </c>
      <c r="T139" s="613"/>
      <c r="U139" s="261" t="s">
        <v>1438</v>
      </c>
      <c r="V139" s="614"/>
      <c r="W139" s="260" t="s">
        <v>864</v>
      </c>
      <c r="X139" s="232"/>
      <c r="Y139" s="266" t="s">
        <v>1439</v>
      </c>
      <c r="Z139" s="575"/>
      <c r="AA139" s="245"/>
      <c r="AB139" s="575"/>
      <c r="AC139" s="613"/>
      <c r="AD139" s="613">
        <v>1</v>
      </c>
    </row>
    <row r="140" spans="1:30" s="224" customFormat="1" ht="13.5" customHeight="1">
      <c r="A140" s="225">
        <v>126</v>
      </c>
      <c r="B140" s="217"/>
      <c r="C140" s="217"/>
      <c r="D140" s="217" t="s">
        <v>1440</v>
      </c>
      <c r="E140" s="241"/>
      <c r="F140" s="241"/>
      <c r="G140" s="241"/>
      <c r="H140" s="575" t="s">
        <v>1441</v>
      </c>
      <c r="I140" s="618"/>
      <c r="J140" s="575"/>
      <c r="K140" s="611" t="s">
        <v>1079</v>
      </c>
      <c r="L140" s="575"/>
      <c r="M140" s="575"/>
      <c r="N140" s="575"/>
      <c r="O140" s="575"/>
      <c r="P140" s="612"/>
      <c r="Q140" s="575" t="s">
        <v>817</v>
      </c>
      <c r="R140" s="575" t="s">
        <v>864</v>
      </c>
      <c r="S140" s="379" t="s">
        <v>1442</v>
      </c>
      <c r="T140" s="613"/>
      <c r="U140" s="613"/>
      <c r="V140" s="260"/>
      <c r="W140" s="260" t="s">
        <v>864</v>
      </c>
      <c r="X140" s="232"/>
      <c r="Y140" s="615"/>
      <c r="Z140" s="575"/>
      <c r="AA140" s="245"/>
      <c r="AB140" s="575"/>
      <c r="AC140" s="613"/>
      <c r="AD140" s="613">
        <v>1</v>
      </c>
    </row>
    <row r="141" spans="1:30" s="224" customFormat="1" ht="13.5" customHeight="1">
      <c r="A141" s="225">
        <v>127</v>
      </c>
      <c r="B141" s="217"/>
      <c r="C141" s="217"/>
      <c r="D141" s="217"/>
      <c r="E141" s="241" t="s">
        <v>1443</v>
      </c>
      <c r="F141" s="241"/>
      <c r="G141" s="241"/>
      <c r="H141" s="575" t="s">
        <v>1441</v>
      </c>
      <c r="I141" s="618" t="s">
        <v>1444</v>
      </c>
      <c r="J141" s="575"/>
      <c r="K141" s="611" t="s">
        <v>1067</v>
      </c>
      <c r="L141" s="575"/>
      <c r="M141" s="575"/>
      <c r="N141" s="575"/>
      <c r="O141" s="575"/>
      <c r="P141" s="612"/>
      <c r="Q141" s="575" t="s">
        <v>817</v>
      </c>
      <c r="R141" s="575"/>
      <c r="S141" s="575" t="s">
        <v>863</v>
      </c>
      <c r="T141" s="613"/>
      <c r="U141" s="613"/>
      <c r="V141" s="260"/>
      <c r="W141" s="260" t="s">
        <v>864</v>
      </c>
      <c r="X141" s="232"/>
      <c r="Y141" s="380" t="s">
        <v>1445</v>
      </c>
      <c r="Z141" s="575"/>
      <c r="AA141" s="245"/>
      <c r="AB141" s="575"/>
      <c r="AC141" s="613"/>
      <c r="AD141" s="613">
        <v>1</v>
      </c>
    </row>
    <row r="142" spans="1:30" s="224" customFormat="1" ht="13.5" customHeight="1">
      <c r="A142" s="225">
        <v>128</v>
      </c>
      <c r="B142" s="217"/>
      <c r="C142" s="217"/>
      <c r="D142" s="217"/>
      <c r="E142" s="241" t="s">
        <v>1446</v>
      </c>
      <c r="F142" s="241"/>
      <c r="G142" s="241"/>
      <c r="H142" s="575" t="s">
        <v>1447</v>
      </c>
      <c r="I142" s="618" t="s">
        <v>1448</v>
      </c>
      <c r="J142" s="575"/>
      <c r="K142" s="611" t="s">
        <v>1449</v>
      </c>
      <c r="L142" s="575"/>
      <c r="M142" s="575"/>
      <c r="N142" s="575"/>
      <c r="O142" s="575"/>
      <c r="P142" s="612"/>
      <c r="Q142" s="575" t="s">
        <v>817</v>
      </c>
      <c r="R142" s="575"/>
      <c r="S142" s="575" t="s">
        <v>863</v>
      </c>
      <c r="T142" s="613"/>
      <c r="U142" s="613"/>
      <c r="V142" s="260"/>
      <c r="W142" s="260" t="s">
        <v>864</v>
      </c>
      <c r="X142" s="232"/>
      <c r="Y142" s="380" t="s">
        <v>1450</v>
      </c>
      <c r="Z142" s="575"/>
      <c r="AA142" s="245"/>
      <c r="AB142" s="575"/>
      <c r="AC142" s="613"/>
      <c r="AD142" s="613">
        <v>1</v>
      </c>
    </row>
    <row r="143" spans="1:30" s="224" customFormat="1" ht="13.5" customHeight="1">
      <c r="A143" s="225">
        <v>129</v>
      </c>
      <c r="B143" s="217"/>
      <c r="C143" s="217"/>
      <c r="D143" s="217" t="s">
        <v>1451</v>
      </c>
      <c r="E143" s="241"/>
      <c r="F143" s="241"/>
      <c r="G143" s="241"/>
      <c r="H143" s="575" t="s">
        <v>1452</v>
      </c>
      <c r="I143" s="618"/>
      <c r="J143" s="575"/>
      <c r="K143" s="611" t="s">
        <v>1453</v>
      </c>
      <c r="L143" s="575"/>
      <c r="M143" s="575"/>
      <c r="N143" s="575"/>
      <c r="O143" s="575"/>
      <c r="P143" s="612"/>
      <c r="Q143" s="575" t="s">
        <v>817</v>
      </c>
      <c r="R143" s="575" t="s">
        <v>864</v>
      </c>
      <c r="S143" s="243" t="s">
        <v>1454</v>
      </c>
      <c r="T143" s="613"/>
      <c r="U143" s="259"/>
      <c r="V143" s="260"/>
      <c r="W143" s="260" t="s">
        <v>864</v>
      </c>
      <c r="X143" s="232"/>
      <c r="Y143" s="615"/>
      <c r="Z143" s="575"/>
      <c r="AA143" s="245"/>
      <c r="AB143" s="575"/>
      <c r="AC143" s="613"/>
      <c r="AD143" s="613">
        <v>1</v>
      </c>
    </row>
    <row r="144" spans="1:30" s="224" customFormat="1" ht="13.5" customHeight="1">
      <c r="A144" s="225">
        <v>130</v>
      </c>
      <c r="B144" s="217"/>
      <c r="C144" s="217"/>
      <c r="D144" s="217"/>
      <c r="E144" s="241" t="s">
        <v>1455</v>
      </c>
      <c r="F144" s="241"/>
      <c r="G144" s="241"/>
      <c r="H144" s="575" t="s">
        <v>1456</v>
      </c>
      <c r="I144" s="618" t="s">
        <v>1121</v>
      </c>
      <c r="J144" s="575"/>
      <c r="K144" s="611" t="s">
        <v>1457</v>
      </c>
      <c r="L144" s="575"/>
      <c r="M144" s="575"/>
      <c r="N144" s="575"/>
      <c r="O144" s="575"/>
      <c r="P144" s="612"/>
      <c r="Q144" s="575" t="s">
        <v>817</v>
      </c>
      <c r="R144" s="575"/>
      <c r="S144" s="575" t="s">
        <v>863</v>
      </c>
      <c r="T144" s="613"/>
      <c r="U144" s="613"/>
      <c r="V144" s="260"/>
      <c r="W144" s="260" t="s">
        <v>864</v>
      </c>
      <c r="X144" s="232"/>
      <c r="Y144" s="615"/>
      <c r="Z144" s="575"/>
      <c r="AA144" s="245"/>
      <c r="AB144" s="575"/>
      <c r="AC144" s="613"/>
      <c r="AD144" s="613">
        <v>1</v>
      </c>
    </row>
    <row r="145" spans="1:30" s="224" customFormat="1" ht="13.5" customHeight="1">
      <c r="A145" s="225">
        <v>131</v>
      </c>
      <c r="B145" s="217"/>
      <c r="C145" s="217"/>
      <c r="D145" s="217"/>
      <c r="E145" s="241" t="s">
        <v>1458</v>
      </c>
      <c r="F145" s="241"/>
      <c r="G145" s="241"/>
      <c r="H145" s="575" t="s">
        <v>1459</v>
      </c>
      <c r="I145" s="618"/>
      <c r="J145" s="575"/>
      <c r="K145" s="611" t="s">
        <v>1460</v>
      </c>
      <c r="L145" s="575"/>
      <c r="M145" s="575"/>
      <c r="N145" s="575"/>
      <c r="O145" s="575"/>
      <c r="P145" s="612"/>
      <c r="Q145" s="575" t="s">
        <v>817</v>
      </c>
      <c r="R145" s="575"/>
      <c r="S145" s="575" t="s">
        <v>863</v>
      </c>
      <c r="T145" s="613"/>
      <c r="U145" s="613"/>
      <c r="V145" s="260"/>
      <c r="W145" s="260" t="s">
        <v>864</v>
      </c>
      <c r="X145" s="232"/>
      <c r="Y145" s="615"/>
      <c r="Z145" s="575"/>
      <c r="AA145" s="245"/>
      <c r="AB145" s="575"/>
      <c r="AC145" s="613"/>
      <c r="AD145" s="613">
        <v>1</v>
      </c>
    </row>
    <row r="146" spans="1:30" s="224" customFormat="1" ht="13.5" customHeight="1">
      <c r="A146" s="225">
        <v>132</v>
      </c>
      <c r="B146" s="217"/>
      <c r="C146" s="217"/>
      <c r="D146" s="217"/>
      <c r="E146" s="241" t="s">
        <v>1461</v>
      </c>
      <c r="F146" s="241"/>
      <c r="G146" s="241"/>
      <c r="H146" s="575" t="s">
        <v>1462</v>
      </c>
      <c r="I146" s="618"/>
      <c r="J146" s="575"/>
      <c r="K146" s="611" t="s">
        <v>1463</v>
      </c>
      <c r="L146" s="575"/>
      <c r="M146" s="575"/>
      <c r="N146" s="575"/>
      <c r="O146" s="575"/>
      <c r="P146" s="612"/>
      <c r="Q146" s="575" t="s">
        <v>817</v>
      </c>
      <c r="R146" s="575"/>
      <c r="S146" s="575" t="s">
        <v>863</v>
      </c>
      <c r="T146" s="613"/>
      <c r="U146" s="613"/>
      <c r="V146" s="260"/>
      <c r="W146" s="260" t="s">
        <v>864</v>
      </c>
      <c r="X146" s="232"/>
      <c r="Y146" s="615"/>
      <c r="Z146" s="575"/>
      <c r="AA146" s="245"/>
      <c r="AB146" s="575"/>
      <c r="AC146" s="613"/>
      <c r="AD146" s="613">
        <v>1</v>
      </c>
    </row>
    <row r="147" spans="1:30" s="224" customFormat="1" ht="13.5" customHeight="1">
      <c r="A147" s="225">
        <v>133</v>
      </c>
      <c r="B147" s="217"/>
      <c r="C147" s="217"/>
      <c r="D147" s="217"/>
      <c r="E147" s="241" t="s">
        <v>1464</v>
      </c>
      <c r="F147" s="241"/>
      <c r="G147" s="241"/>
      <c r="H147" s="575" t="s">
        <v>1465</v>
      </c>
      <c r="I147" s="618"/>
      <c r="J147" s="575"/>
      <c r="K147" s="611" t="s">
        <v>1466</v>
      </c>
      <c r="L147" s="575"/>
      <c r="M147" s="575"/>
      <c r="N147" s="575"/>
      <c r="O147" s="575"/>
      <c r="P147" s="612"/>
      <c r="Q147" s="575" t="s">
        <v>817</v>
      </c>
      <c r="R147" s="575"/>
      <c r="S147" s="575" t="s">
        <v>1467</v>
      </c>
      <c r="T147" s="613"/>
      <c r="U147" s="259"/>
      <c r="V147" s="260"/>
      <c r="W147" s="260" t="s">
        <v>864</v>
      </c>
      <c r="X147" s="232"/>
      <c r="Y147" s="615"/>
      <c r="Z147" s="575"/>
      <c r="AA147" s="245"/>
      <c r="AB147" s="575"/>
      <c r="AC147" s="613"/>
      <c r="AD147" s="613">
        <v>1</v>
      </c>
    </row>
    <row r="148" spans="1:30" s="224" customFormat="1" ht="13.5" customHeight="1">
      <c r="A148" s="225">
        <v>134</v>
      </c>
      <c r="B148" s="217"/>
      <c r="C148" s="217"/>
      <c r="D148" s="217"/>
      <c r="E148" s="241" t="s">
        <v>1468</v>
      </c>
      <c r="F148" s="241"/>
      <c r="G148" s="241"/>
      <c r="H148" s="575" t="s">
        <v>1469</v>
      </c>
      <c r="I148" s="618" t="s">
        <v>698</v>
      </c>
      <c r="J148" s="575"/>
      <c r="K148" s="611" t="s">
        <v>1470</v>
      </c>
      <c r="L148" s="575"/>
      <c r="M148" s="575"/>
      <c r="N148" s="575"/>
      <c r="O148" s="575"/>
      <c r="P148" s="612"/>
      <c r="Q148" s="575" t="s">
        <v>817</v>
      </c>
      <c r="R148" s="575"/>
      <c r="S148" s="575" t="s">
        <v>863</v>
      </c>
      <c r="T148" s="613"/>
      <c r="U148" s="613"/>
      <c r="V148" s="260"/>
      <c r="W148" s="260" t="s">
        <v>864</v>
      </c>
      <c r="X148" s="232"/>
      <c r="Y148" s="387" t="s">
        <v>1471</v>
      </c>
      <c r="Z148" s="575"/>
      <c r="AA148" s="245"/>
      <c r="AB148" s="575"/>
      <c r="AC148" s="613"/>
      <c r="AD148" s="613">
        <v>1</v>
      </c>
    </row>
    <row r="149" spans="1:30" s="224" customFormat="1" ht="13.5" customHeight="1">
      <c r="A149" s="225">
        <v>135</v>
      </c>
      <c r="B149" s="217"/>
      <c r="C149" s="217"/>
      <c r="D149" s="217"/>
      <c r="E149" s="241" t="s">
        <v>1472</v>
      </c>
      <c r="F149" s="241"/>
      <c r="G149" s="241"/>
      <c r="H149" s="575" t="s">
        <v>1473</v>
      </c>
      <c r="I149" s="618"/>
      <c r="J149" s="575"/>
      <c r="K149" s="611" t="s">
        <v>1474</v>
      </c>
      <c r="L149" s="575"/>
      <c r="M149" s="575"/>
      <c r="N149" s="575"/>
      <c r="O149" s="575"/>
      <c r="P149" s="612"/>
      <c r="Q149" s="575" t="s">
        <v>817</v>
      </c>
      <c r="R149" s="575"/>
      <c r="S149" s="575" t="s">
        <v>1079</v>
      </c>
      <c r="T149" s="613"/>
      <c r="U149" s="381"/>
      <c r="V149" s="260"/>
      <c r="W149" s="260" t="s">
        <v>864</v>
      </c>
      <c r="X149" s="232"/>
      <c r="Y149" s="380" t="s">
        <v>1475</v>
      </c>
      <c r="Z149" s="575" t="s">
        <v>1476</v>
      </c>
      <c r="AA149" s="245"/>
      <c r="AB149" s="575"/>
      <c r="AC149" s="613"/>
      <c r="AD149" s="613">
        <v>1</v>
      </c>
    </row>
    <row r="150" spans="1:30" s="224" customFormat="1" ht="13.5" customHeight="1">
      <c r="A150" s="225">
        <v>136</v>
      </c>
      <c r="B150" s="217"/>
      <c r="C150" s="217"/>
      <c r="D150" s="217" t="s">
        <v>1477</v>
      </c>
      <c r="E150" s="241" t="s">
        <v>1478</v>
      </c>
      <c r="F150" s="241"/>
      <c r="G150" s="241"/>
      <c r="H150" s="575" t="s">
        <v>1479</v>
      </c>
      <c r="I150" s="618"/>
      <c r="J150" s="575"/>
      <c r="K150" s="611" t="s">
        <v>1480</v>
      </c>
      <c r="L150" s="575"/>
      <c r="M150" s="575"/>
      <c r="N150" s="575"/>
      <c r="O150" s="575"/>
      <c r="P150" s="612"/>
      <c r="Q150" s="575" t="s">
        <v>817</v>
      </c>
      <c r="R150" s="575" t="s">
        <v>864</v>
      </c>
      <c r="S150" s="243" t="s">
        <v>1290</v>
      </c>
      <c r="T150" s="613"/>
      <c r="U150" s="613"/>
      <c r="V150" s="260"/>
      <c r="W150" s="260" t="s">
        <v>864</v>
      </c>
      <c r="X150" s="232"/>
      <c r="Y150" s="615"/>
      <c r="Z150" s="575"/>
      <c r="AA150" s="245"/>
      <c r="AB150" s="575"/>
      <c r="AC150" s="613"/>
      <c r="AD150" s="613">
        <v>1</v>
      </c>
    </row>
    <row r="151" spans="1:30" s="224" customFormat="1" ht="13.5" customHeight="1">
      <c r="A151" s="225">
        <v>137</v>
      </c>
      <c r="B151" s="217"/>
      <c r="C151" s="219" t="s">
        <v>993</v>
      </c>
      <c r="D151" s="241" t="s">
        <v>985</v>
      </c>
      <c r="E151" s="241"/>
      <c r="F151" s="241"/>
      <c r="G151" s="241"/>
      <c r="H151" s="575" t="s">
        <v>1481</v>
      </c>
      <c r="I151" s="611"/>
      <c r="J151" s="575"/>
      <c r="K151" s="575" t="s">
        <v>995</v>
      </c>
      <c r="L151" s="575"/>
      <c r="M151" s="575"/>
      <c r="N151" s="575"/>
      <c r="O151" s="575"/>
      <c r="P151" s="612"/>
      <c r="Q151" s="575" t="s">
        <v>817</v>
      </c>
      <c r="R151" s="575" t="s">
        <v>864</v>
      </c>
      <c r="S151" s="243" t="s">
        <v>974</v>
      </c>
      <c r="T151" s="613"/>
      <c r="U151" s="575"/>
      <c r="V151" s="614"/>
      <c r="W151" s="260" t="s">
        <v>864</v>
      </c>
      <c r="X151" s="232"/>
      <c r="Y151" s="387" t="s">
        <v>1482</v>
      </c>
      <c r="Z151" s="575" t="s">
        <v>975</v>
      </c>
      <c r="AA151" s="616"/>
      <c r="AB151" s="575"/>
      <c r="AC151" s="613"/>
      <c r="AD151" s="613">
        <v>1</v>
      </c>
    </row>
    <row r="152" spans="1:30" s="158" customFormat="1" ht="12.75" customHeight="1">
      <c r="A152" s="225">
        <v>138</v>
      </c>
      <c r="B152" s="217"/>
      <c r="C152" s="219" t="s">
        <v>1483</v>
      </c>
      <c r="D152" s="241"/>
      <c r="E152" s="241"/>
      <c r="F152" s="241"/>
      <c r="G152" s="241"/>
      <c r="H152" s="263"/>
      <c r="I152" s="264"/>
      <c r="J152" s="263"/>
      <c r="K152" s="611" t="s">
        <v>1107</v>
      </c>
      <c r="L152" s="575"/>
      <c r="M152" s="575"/>
      <c r="N152" s="575"/>
      <c r="O152" s="575"/>
      <c r="P152" s="612"/>
      <c r="Q152" s="575" t="s">
        <v>817</v>
      </c>
      <c r="R152" s="575" t="s">
        <v>864</v>
      </c>
      <c r="S152" s="379" t="s">
        <v>1484</v>
      </c>
      <c r="T152" s="268"/>
      <c r="U152" s="263"/>
      <c r="V152" s="265"/>
      <c r="W152" s="260" t="s">
        <v>864</v>
      </c>
      <c r="X152" s="232"/>
      <c r="Y152" s="380" t="s">
        <v>1485</v>
      </c>
      <c r="Z152" s="263"/>
      <c r="AA152" s="267" t="s">
        <v>1486</v>
      </c>
      <c r="AB152" s="263"/>
      <c r="AC152" s="613"/>
      <c r="AD152" s="613">
        <v>1</v>
      </c>
    </row>
    <row r="153" spans="1:30" s="224" customFormat="1" ht="13.5" customHeight="1">
      <c r="A153" s="225">
        <v>139</v>
      </c>
      <c r="B153" s="217"/>
      <c r="C153" s="219"/>
      <c r="D153" s="241" t="s">
        <v>1487</v>
      </c>
      <c r="E153" s="241"/>
      <c r="F153" s="241"/>
      <c r="G153" s="241"/>
      <c r="H153" s="575" t="s">
        <v>1488</v>
      </c>
      <c r="I153" s="611">
        <v>31</v>
      </c>
      <c r="J153" s="575"/>
      <c r="K153" s="611" t="s">
        <v>1489</v>
      </c>
      <c r="L153" s="575"/>
      <c r="M153" s="575"/>
      <c r="N153" s="575"/>
      <c r="O153" s="575"/>
      <c r="P153" s="612"/>
      <c r="Q153" s="575" t="s">
        <v>817</v>
      </c>
      <c r="R153" s="575"/>
      <c r="S153" s="575" t="s">
        <v>1368</v>
      </c>
      <c r="T153" s="613"/>
      <c r="U153" s="575"/>
      <c r="V153" s="614"/>
      <c r="W153" s="260" t="s">
        <v>864</v>
      </c>
      <c r="X153" s="232"/>
      <c r="Y153" s="615"/>
      <c r="Z153" s="575"/>
      <c r="AA153" s="616"/>
      <c r="AB153" s="575"/>
      <c r="AC153" s="613"/>
      <c r="AD153" s="613">
        <v>1</v>
      </c>
    </row>
    <row r="154" spans="1:30" s="224" customFormat="1" ht="13.5" customHeight="1">
      <c r="A154" s="225">
        <v>140</v>
      </c>
      <c r="B154" s="217"/>
      <c r="C154" s="219"/>
      <c r="D154" s="241" t="s">
        <v>1490</v>
      </c>
      <c r="E154" s="241"/>
      <c r="F154" s="241"/>
      <c r="G154" s="241"/>
      <c r="H154" s="575" t="s">
        <v>1491</v>
      </c>
      <c r="I154" s="611">
        <v>109</v>
      </c>
      <c r="J154" s="575"/>
      <c r="K154" s="611" t="s">
        <v>1169</v>
      </c>
      <c r="L154" s="575"/>
      <c r="M154" s="575"/>
      <c r="N154" s="575"/>
      <c r="O154" s="575"/>
      <c r="P154" s="612"/>
      <c r="Q154" s="575" t="s">
        <v>817</v>
      </c>
      <c r="R154" s="575"/>
      <c r="S154" s="575" t="s">
        <v>1368</v>
      </c>
      <c r="T154" s="613"/>
      <c r="U154" s="575"/>
      <c r="V154" s="614"/>
      <c r="W154" s="260" t="s">
        <v>864</v>
      </c>
      <c r="X154" s="232"/>
      <c r="Y154" s="615"/>
      <c r="Z154" s="575"/>
      <c r="AA154" s="616"/>
      <c r="AB154" s="575"/>
      <c r="AC154" s="613"/>
      <c r="AD154" s="613">
        <v>1</v>
      </c>
    </row>
    <row r="155" spans="1:30" s="224" customFormat="1" ht="12.75" customHeight="1">
      <c r="A155" s="225">
        <v>141</v>
      </c>
      <c r="B155" s="217"/>
      <c r="C155" s="219"/>
      <c r="D155" s="241" t="s">
        <v>1492</v>
      </c>
      <c r="E155" s="241"/>
      <c r="F155" s="241"/>
      <c r="G155" s="241"/>
      <c r="H155" s="575" t="s">
        <v>1493</v>
      </c>
      <c r="I155" s="611" t="s">
        <v>1494</v>
      </c>
      <c r="J155" s="575"/>
      <c r="K155" s="611" t="s">
        <v>1495</v>
      </c>
      <c r="L155" s="575"/>
      <c r="M155" s="575"/>
      <c r="N155" s="575"/>
      <c r="O155" s="575"/>
      <c r="P155" s="612"/>
      <c r="Q155" s="575" t="s">
        <v>817</v>
      </c>
      <c r="R155" s="575"/>
      <c r="S155" s="619" t="s">
        <v>863</v>
      </c>
      <c r="T155" s="282"/>
      <c r="U155" s="575" t="s">
        <v>1496</v>
      </c>
      <c r="V155" s="614"/>
      <c r="W155" s="260" t="s">
        <v>864</v>
      </c>
      <c r="X155" s="232"/>
      <c r="Y155" s="380"/>
      <c r="Z155" s="575"/>
      <c r="AA155" s="616"/>
      <c r="AB155" s="575"/>
      <c r="AC155" s="613"/>
      <c r="AD155" s="613">
        <v>1</v>
      </c>
    </row>
    <row r="156" spans="1:30" s="224" customFormat="1" ht="13.5" customHeight="1">
      <c r="A156" s="225">
        <v>142</v>
      </c>
      <c r="B156" s="217"/>
      <c r="C156" s="239"/>
      <c r="D156" s="241" t="s">
        <v>1497</v>
      </c>
      <c r="E156" s="241"/>
      <c r="F156" s="241"/>
      <c r="G156" s="241"/>
      <c r="H156" s="575"/>
      <c r="I156" s="611" t="s">
        <v>1498</v>
      </c>
      <c r="J156" s="575"/>
      <c r="K156" s="611" t="s">
        <v>1499</v>
      </c>
      <c r="L156" s="575"/>
      <c r="M156" s="575"/>
      <c r="N156" s="575"/>
      <c r="O156" s="575"/>
      <c r="P156" s="612"/>
      <c r="Q156" s="575" t="s">
        <v>817</v>
      </c>
      <c r="R156" s="575"/>
      <c r="S156" s="575" t="s">
        <v>863</v>
      </c>
      <c r="T156" s="613"/>
      <c r="U156" s="255"/>
      <c r="V156" s="614"/>
      <c r="W156" s="260" t="s">
        <v>864</v>
      </c>
      <c r="X156" s="232"/>
      <c r="Y156" s="387" t="s">
        <v>1500</v>
      </c>
      <c r="Z156" s="575"/>
      <c r="AA156" s="616"/>
      <c r="AB156" s="575"/>
      <c r="AC156" s="613"/>
      <c r="AD156" s="613">
        <v>1</v>
      </c>
    </row>
    <row r="157" spans="1:30" s="224" customFormat="1" ht="13.5" customHeight="1">
      <c r="A157" s="225">
        <v>143</v>
      </c>
      <c r="B157" s="217"/>
      <c r="C157" s="219" t="s">
        <v>1501</v>
      </c>
      <c r="D157" s="241"/>
      <c r="E157" s="241"/>
      <c r="F157" s="241"/>
      <c r="G157" s="241"/>
      <c r="H157" s="575"/>
      <c r="I157" s="611"/>
      <c r="J157" s="575"/>
      <c r="K157" s="611" t="s">
        <v>1502</v>
      </c>
      <c r="L157" s="575"/>
      <c r="M157" s="575"/>
      <c r="N157" s="575"/>
      <c r="O157" s="575"/>
      <c r="P157" s="612"/>
      <c r="Q157" s="575" t="s">
        <v>817</v>
      </c>
      <c r="R157" s="575" t="s">
        <v>864</v>
      </c>
      <c r="S157" s="379" t="s">
        <v>1502</v>
      </c>
      <c r="T157" s="613"/>
      <c r="U157" s="575"/>
      <c r="V157" s="614"/>
      <c r="W157" s="260" t="s">
        <v>864</v>
      </c>
      <c r="X157" s="232"/>
      <c r="Y157" s="615"/>
      <c r="Z157" s="575"/>
      <c r="AA157" s="616"/>
      <c r="AB157" s="575"/>
      <c r="AC157" s="613"/>
      <c r="AD157" s="613">
        <v>1</v>
      </c>
    </row>
    <row r="158" spans="1:30" s="224" customFormat="1" ht="13.5" customHeight="1">
      <c r="A158" s="225">
        <v>144</v>
      </c>
      <c r="B158" s="217"/>
      <c r="C158" s="219"/>
      <c r="D158" s="241" t="s">
        <v>1503</v>
      </c>
      <c r="E158" s="241" t="s">
        <v>985</v>
      </c>
      <c r="F158" s="241"/>
      <c r="G158" s="241"/>
      <c r="H158" s="575" t="s">
        <v>1504</v>
      </c>
      <c r="I158" s="611"/>
      <c r="J158" s="575"/>
      <c r="K158" s="611" t="s">
        <v>1505</v>
      </c>
      <c r="L158" s="575"/>
      <c r="M158" s="575"/>
      <c r="N158" s="575"/>
      <c r="O158" s="575"/>
      <c r="P158" s="612"/>
      <c r="Q158" s="575" t="s">
        <v>817</v>
      </c>
      <c r="R158" s="575" t="s">
        <v>864</v>
      </c>
      <c r="S158" s="379" t="s">
        <v>974</v>
      </c>
      <c r="T158" s="613"/>
      <c r="U158" s="575"/>
      <c r="V158" s="614"/>
      <c r="W158" s="260" t="s">
        <v>864</v>
      </c>
      <c r="X158" s="232"/>
      <c r="Y158" s="615" t="s">
        <v>1506</v>
      </c>
      <c r="Z158" s="575"/>
      <c r="AA158" s="616"/>
      <c r="AB158" s="575"/>
      <c r="AC158" s="613"/>
      <c r="AD158" s="613">
        <v>1</v>
      </c>
    </row>
    <row r="159" spans="1:30" s="224" customFormat="1" ht="14.25" customHeight="1">
      <c r="A159" s="225">
        <v>145</v>
      </c>
      <c r="B159" s="217"/>
      <c r="C159" s="219"/>
      <c r="D159" s="241" t="s">
        <v>1507</v>
      </c>
      <c r="E159" s="241" t="s">
        <v>985</v>
      </c>
      <c r="F159" s="241"/>
      <c r="G159" s="241"/>
      <c r="H159" s="575" t="s">
        <v>1508</v>
      </c>
      <c r="I159" s="611"/>
      <c r="J159" s="575"/>
      <c r="K159" s="611" t="s">
        <v>1509</v>
      </c>
      <c r="L159" s="575"/>
      <c r="M159" s="575"/>
      <c r="N159" s="575"/>
      <c r="O159" s="575"/>
      <c r="P159" s="612"/>
      <c r="Q159" s="575" t="s">
        <v>823</v>
      </c>
      <c r="R159" s="575" t="s">
        <v>864</v>
      </c>
      <c r="S159" s="379" t="s">
        <v>974</v>
      </c>
      <c r="T159" s="268"/>
      <c r="U159" s="255"/>
      <c r="V159" s="614"/>
      <c r="W159" s="260" t="s">
        <v>864</v>
      </c>
      <c r="X159" s="232"/>
      <c r="Y159" s="615" t="s">
        <v>1506</v>
      </c>
      <c r="Z159" s="575"/>
      <c r="AA159" s="616"/>
      <c r="AB159" s="575"/>
      <c r="AC159" s="613"/>
      <c r="AD159" s="613">
        <v>1</v>
      </c>
    </row>
    <row r="160" spans="1:30" s="224" customFormat="1" ht="13.5" customHeight="1">
      <c r="A160" s="225">
        <v>146</v>
      </c>
      <c r="B160" s="217"/>
      <c r="C160" s="219" t="s">
        <v>1510</v>
      </c>
      <c r="D160" s="241" t="s">
        <v>985</v>
      </c>
      <c r="E160" s="241"/>
      <c r="F160" s="241"/>
      <c r="G160" s="241"/>
      <c r="H160" s="575" t="s">
        <v>1511</v>
      </c>
      <c r="I160" s="611"/>
      <c r="J160" s="575"/>
      <c r="K160" s="611" t="s">
        <v>1512</v>
      </c>
      <c r="L160" s="575"/>
      <c r="M160" s="575"/>
      <c r="N160" s="575"/>
      <c r="O160" s="575"/>
      <c r="P160" s="612"/>
      <c r="Q160" s="575" t="s">
        <v>817</v>
      </c>
      <c r="R160" s="575" t="s">
        <v>864</v>
      </c>
      <c r="S160" s="379" t="s">
        <v>974</v>
      </c>
      <c r="T160" s="268"/>
      <c r="U160" s="575"/>
      <c r="V160" s="614"/>
      <c r="W160" s="614" t="s">
        <v>864</v>
      </c>
      <c r="X160" s="232"/>
      <c r="Y160" s="615" t="s">
        <v>1506</v>
      </c>
      <c r="Z160" s="575"/>
      <c r="AA160" s="616"/>
      <c r="AB160" s="575"/>
      <c r="AC160" s="613"/>
      <c r="AD160" s="613">
        <v>1</v>
      </c>
    </row>
    <row r="161" spans="1:30" s="224" customFormat="1" ht="13.5" customHeight="1">
      <c r="A161" s="225">
        <v>147</v>
      </c>
      <c r="B161" s="219" t="s">
        <v>1513</v>
      </c>
      <c r="C161" s="241"/>
      <c r="D161" s="241"/>
      <c r="E161" s="241"/>
      <c r="F161" s="241"/>
      <c r="G161" s="241"/>
      <c r="H161" s="575" t="s">
        <v>1514</v>
      </c>
      <c r="I161" s="611"/>
      <c r="J161" s="575"/>
      <c r="K161" s="611" t="s">
        <v>1515</v>
      </c>
      <c r="L161" s="575"/>
      <c r="M161" s="575"/>
      <c r="N161" s="575"/>
      <c r="O161" s="575"/>
      <c r="P161" s="612"/>
      <c r="Q161" s="623" t="s">
        <v>823</v>
      </c>
      <c r="R161" s="575" t="s">
        <v>864</v>
      </c>
      <c r="S161" s="379" t="s">
        <v>1515</v>
      </c>
      <c r="T161" s="613"/>
      <c r="U161" s="575"/>
      <c r="V161" s="614"/>
      <c r="W161" s="260" t="s">
        <v>864</v>
      </c>
      <c r="X161" s="232"/>
      <c r="Y161" s="615" t="s">
        <v>1516</v>
      </c>
      <c r="Z161" s="575"/>
      <c r="AA161" s="616"/>
      <c r="AB161" s="575"/>
      <c r="AC161" s="613"/>
      <c r="AD161" s="613">
        <v>1</v>
      </c>
    </row>
    <row r="162" spans="1:30" s="224" customFormat="1" ht="13.5" customHeight="1">
      <c r="A162" s="225">
        <v>155</v>
      </c>
      <c r="B162" s="217"/>
      <c r="C162" s="217" t="s">
        <v>1393</v>
      </c>
      <c r="D162" s="241"/>
      <c r="E162" s="241"/>
      <c r="F162" s="241"/>
      <c r="G162" s="241"/>
      <c r="H162" s="575" t="s">
        <v>1517</v>
      </c>
      <c r="I162" s="611"/>
      <c r="J162" s="575"/>
      <c r="K162" s="611" t="s">
        <v>1205</v>
      </c>
      <c r="L162" s="575"/>
      <c r="M162" s="575"/>
      <c r="N162" s="575"/>
      <c r="O162" s="575"/>
      <c r="P162" s="612"/>
      <c r="Q162" s="575" t="s">
        <v>817</v>
      </c>
      <c r="R162" s="575"/>
      <c r="S162" s="575" t="s">
        <v>863</v>
      </c>
      <c r="T162" s="613"/>
      <c r="U162" s="575"/>
      <c r="V162" s="614"/>
      <c r="W162" s="260" t="s">
        <v>864</v>
      </c>
      <c r="X162" s="232"/>
      <c r="Y162" s="615"/>
      <c r="Z162" s="263"/>
      <c r="AA162" s="616"/>
      <c r="AB162" s="575"/>
      <c r="AC162" s="613"/>
      <c r="AD162" s="613">
        <v>1</v>
      </c>
    </row>
    <row r="163" spans="1:30" s="224" customFormat="1" ht="13.5" customHeight="1">
      <c r="A163" s="225">
        <v>148</v>
      </c>
      <c r="B163" s="219"/>
      <c r="C163" s="241" t="s">
        <v>1518</v>
      </c>
      <c r="D163" s="241" t="s">
        <v>1519</v>
      </c>
      <c r="E163" s="241"/>
      <c r="F163" s="241"/>
      <c r="G163" s="241"/>
      <c r="H163" s="575" t="s">
        <v>1520</v>
      </c>
      <c r="I163" s="611"/>
      <c r="J163" s="575"/>
      <c r="K163" s="611" t="s">
        <v>1383</v>
      </c>
      <c r="L163" s="575"/>
      <c r="M163" s="575"/>
      <c r="N163" s="575"/>
      <c r="O163" s="575"/>
      <c r="P163" s="612"/>
      <c r="Q163" s="575" t="s">
        <v>817</v>
      </c>
      <c r="R163" s="575" t="s">
        <v>864</v>
      </c>
      <c r="S163" s="379" t="s">
        <v>1383</v>
      </c>
      <c r="T163" s="613"/>
      <c r="U163" s="575"/>
      <c r="V163" s="614"/>
      <c r="W163" s="260" t="s">
        <v>864</v>
      </c>
      <c r="X163" s="232"/>
      <c r="Y163" s="615"/>
      <c r="Z163" s="575"/>
      <c r="AA163" s="616"/>
      <c r="AB163" s="575"/>
      <c r="AC163" s="613"/>
      <c r="AD163" s="613">
        <v>1</v>
      </c>
    </row>
    <row r="164" spans="1:30" s="224" customFormat="1" ht="13.5" customHeight="1">
      <c r="A164" s="225">
        <v>149</v>
      </c>
      <c r="B164" s="219"/>
      <c r="C164" s="239" t="s">
        <v>1521</v>
      </c>
      <c r="D164" s="241"/>
      <c r="E164" s="241"/>
      <c r="F164" s="241"/>
      <c r="G164" s="241"/>
      <c r="H164" s="575" t="s">
        <v>1522</v>
      </c>
      <c r="I164" s="611" t="s">
        <v>930</v>
      </c>
      <c r="J164" s="575"/>
      <c r="K164" s="611" t="s">
        <v>931</v>
      </c>
      <c r="L164" s="575"/>
      <c r="M164" s="575"/>
      <c r="N164" s="575"/>
      <c r="O164" s="575"/>
      <c r="P164" s="612"/>
      <c r="Q164" s="575" t="s">
        <v>820</v>
      </c>
      <c r="R164" s="575"/>
      <c r="S164" s="575" t="s">
        <v>879</v>
      </c>
      <c r="T164" s="613"/>
      <c r="U164" s="575" t="s">
        <v>932</v>
      </c>
      <c r="V164" s="614"/>
      <c r="W164" s="614" t="s">
        <v>864</v>
      </c>
      <c r="X164" s="232"/>
      <c r="Y164" s="615"/>
      <c r="Z164" s="575"/>
      <c r="AA164" s="616"/>
      <c r="AB164" s="575"/>
      <c r="AC164" s="613"/>
      <c r="AD164" s="613">
        <v>1</v>
      </c>
    </row>
    <row r="165" spans="1:30" s="224" customFormat="1" ht="13.5" customHeight="1">
      <c r="A165" s="225">
        <v>150</v>
      </c>
      <c r="B165" s="219"/>
      <c r="C165" s="241" t="s">
        <v>1523</v>
      </c>
      <c r="D165" s="241"/>
      <c r="E165" s="241"/>
      <c r="F165" s="241"/>
      <c r="G165" s="241"/>
      <c r="H165" s="575" t="s">
        <v>1524</v>
      </c>
      <c r="I165" s="611"/>
      <c r="J165" s="575"/>
      <c r="K165" s="611" t="s">
        <v>939</v>
      </c>
      <c r="L165" s="575"/>
      <c r="M165" s="575"/>
      <c r="N165" s="575"/>
      <c r="O165" s="575"/>
      <c r="P165" s="612"/>
      <c r="Q165" s="575" t="s">
        <v>820</v>
      </c>
      <c r="R165" s="575"/>
      <c r="S165" s="575" t="s">
        <v>863</v>
      </c>
      <c r="T165" s="613"/>
      <c r="U165" s="575"/>
      <c r="V165" s="614"/>
      <c r="W165" s="260" t="s">
        <v>864</v>
      </c>
      <c r="X165" s="232"/>
      <c r="Y165" s="615"/>
      <c r="Z165" s="575"/>
      <c r="AA165" s="616"/>
      <c r="AB165" s="575"/>
      <c r="AC165" s="613"/>
      <c r="AD165" s="613">
        <v>1</v>
      </c>
    </row>
    <row r="166" spans="1:30" s="224" customFormat="1" ht="13.5" customHeight="1">
      <c r="A166" s="225">
        <v>151</v>
      </c>
      <c r="B166" s="219"/>
      <c r="C166" s="241" t="s">
        <v>1525</v>
      </c>
      <c r="D166" s="241"/>
      <c r="E166" s="241"/>
      <c r="F166" s="241"/>
      <c r="G166" s="241"/>
      <c r="H166" s="575" t="s">
        <v>1526</v>
      </c>
      <c r="I166" s="611"/>
      <c r="J166" s="575"/>
      <c r="K166" s="611" t="s">
        <v>1527</v>
      </c>
      <c r="L166" s="575"/>
      <c r="M166" s="575"/>
      <c r="N166" s="575"/>
      <c r="O166" s="575"/>
      <c r="P166" s="612"/>
      <c r="Q166" s="575" t="s">
        <v>817</v>
      </c>
      <c r="R166" s="575"/>
      <c r="S166" s="575" t="s">
        <v>863</v>
      </c>
      <c r="T166" s="613"/>
      <c r="U166" s="575"/>
      <c r="V166" s="614"/>
      <c r="W166" s="260" t="s">
        <v>864</v>
      </c>
      <c r="X166" s="232"/>
      <c r="Y166" s="615"/>
      <c r="Z166" s="575"/>
      <c r="AA166" s="616"/>
      <c r="AB166" s="575"/>
      <c r="AC166" s="613"/>
      <c r="AD166" s="613">
        <v>1</v>
      </c>
    </row>
    <row r="167" spans="1:30" s="224" customFormat="1" ht="13.5" customHeight="1">
      <c r="A167" s="225">
        <v>152</v>
      </c>
      <c r="B167" s="219"/>
      <c r="C167" s="241" t="s">
        <v>1528</v>
      </c>
      <c r="D167" s="241"/>
      <c r="E167" s="241"/>
      <c r="F167" s="241"/>
      <c r="G167" s="241"/>
      <c r="H167" s="575" t="s">
        <v>1529</v>
      </c>
      <c r="I167" s="611"/>
      <c r="J167" s="575"/>
      <c r="K167" s="611" t="s">
        <v>1530</v>
      </c>
      <c r="L167" s="575"/>
      <c r="M167" s="575"/>
      <c r="N167" s="575"/>
      <c r="O167" s="575"/>
      <c r="P167" s="612"/>
      <c r="Q167" s="575" t="s">
        <v>817</v>
      </c>
      <c r="R167" s="575"/>
      <c r="S167" s="575" t="s">
        <v>863</v>
      </c>
      <c r="T167" s="613"/>
      <c r="U167" s="575"/>
      <c r="V167" s="614"/>
      <c r="W167" s="260" t="s">
        <v>864</v>
      </c>
      <c r="X167" s="232"/>
      <c r="Y167" s="615"/>
      <c r="Z167" s="575"/>
      <c r="AA167" s="616"/>
      <c r="AB167" s="575"/>
      <c r="AC167" s="613"/>
      <c r="AD167" s="613">
        <v>1</v>
      </c>
    </row>
    <row r="168" spans="1:30" s="224" customFormat="1" ht="13.5" customHeight="1">
      <c r="A168" s="225">
        <v>153</v>
      </c>
      <c r="B168" s="219"/>
      <c r="C168" s="241" t="s">
        <v>1531</v>
      </c>
      <c r="D168" s="241"/>
      <c r="E168" s="241"/>
      <c r="F168" s="241"/>
      <c r="G168" s="241"/>
      <c r="H168" s="575" t="s">
        <v>1532</v>
      </c>
      <c r="I168" s="611"/>
      <c r="J168" s="575"/>
      <c r="K168" s="611" t="s">
        <v>1533</v>
      </c>
      <c r="L168" s="575"/>
      <c r="M168" s="575"/>
      <c r="N168" s="575"/>
      <c r="O168" s="575"/>
      <c r="P168" s="612"/>
      <c r="Q168" s="575" t="s">
        <v>817</v>
      </c>
      <c r="R168" s="575"/>
      <c r="S168" s="575" t="s">
        <v>863</v>
      </c>
      <c r="T168" s="613"/>
      <c r="U168" s="575"/>
      <c r="V168" s="614"/>
      <c r="W168" s="260" t="s">
        <v>864</v>
      </c>
      <c r="X168" s="232"/>
      <c r="Y168" s="615"/>
      <c r="Z168" s="575"/>
      <c r="AA168" s="616"/>
      <c r="AB168" s="575"/>
      <c r="AC168" s="613"/>
      <c r="AD168" s="613">
        <v>1</v>
      </c>
    </row>
    <row r="169" spans="1:30" s="224" customFormat="1" ht="13.5" customHeight="1">
      <c r="A169" s="225">
        <v>154</v>
      </c>
      <c r="B169" s="217" t="s">
        <v>1534</v>
      </c>
      <c r="C169" s="219"/>
      <c r="D169" s="241"/>
      <c r="E169" s="241"/>
      <c r="F169" s="241"/>
      <c r="G169" s="241"/>
      <c r="H169" s="269" t="s">
        <v>1535</v>
      </c>
      <c r="I169" s="611"/>
      <c r="J169" s="575"/>
      <c r="K169" s="611" t="s">
        <v>1536</v>
      </c>
      <c r="L169" s="575"/>
      <c r="M169" s="575"/>
      <c r="N169" s="575"/>
      <c r="O169" s="575"/>
      <c r="P169" s="612"/>
      <c r="Q169" s="575" t="s">
        <v>823</v>
      </c>
      <c r="R169" s="575" t="s">
        <v>864</v>
      </c>
      <c r="S169" s="243" t="s">
        <v>1536</v>
      </c>
      <c r="T169" s="613"/>
      <c r="U169" s="575"/>
      <c r="V169" s="614"/>
      <c r="W169" s="260" t="s">
        <v>864</v>
      </c>
      <c r="X169" s="232"/>
      <c r="Y169" s="266" t="s">
        <v>1537</v>
      </c>
      <c r="Z169" s="263" t="s">
        <v>1538</v>
      </c>
      <c r="AA169" s="616"/>
      <c r="AB169" s="575"/>
      <c r="AC169" s="613"/>
      <c r="AD169" s="613">
        <v>1</v>
      </c>
    </row>
    <row r="170" spans="1:30" s="224" customFormat="1" ht="13.5" customHeight="1">
      <c r="A170" s="225">
        <v>155</v>
      </c>
      <c r="B170" s="217"/>
      <c r="C170" s="217" t="s">
        <v>1393</v>
      </c>
      <c r="D170" s="241"/>
      <c r="E170" s="241"/>
      <c r="F170" s="241"/>
      <c r="G170" s="241"/>
      <c r="H170" s="575" t="s">
        <v>1517</v>
      </c>
      <c r="I170" s="611"/>
      <c r="J170" s="575"/>
      <c r="K170" s="611" t="s">
        <v>1205</v>
      </c>
      <c r="L170" s="575"/>
      <c r="M170" s="575"/>
      <c r="N170" s="575"/>
      <c r="O170" s="575"/>
      <c r="P170" s="612"/>
      <c r="Q170" s="575" t="s">
        <v>817</v>
      </c>
      <c r="R170" s="575"/>
      <c r="S170" s="575" t="s">
        <v>863</v>
      </c>
      <c r="T170" s="613"/>
      <c r="U170" s="575"/>
      <c r="V170" s="614"/>
      <c r="W170" s="260" t="s">
        <v>864</v>
      </c>
      <c r="X170" s="232"/>
      <c r="Y170" s="615"/>
      <c r="Z170" s="263"/>
      <c r="AA170" s="616"/>
      <c r="AB170" s="575"/>
      <c r="AC170" s="613"/>
      <c r="AD170" s="613">
        <v>1</v>
      </c>
    </row>
    <row r="171" spans="1:30" s="158" customFormat="1" ht="12.75" customHeight="1">
      <c r="A171" s="225">
        <v>157</v>
      </c>
      <c r="B171" s="217"/>
      <c r="C171" s="241" t="s">
        <v>1539</v>
      </c>
      <c r="D171" s="241"/>
      <c r="E171" s="241"/>
      <c r="F171" s="241"/>
      <c r="G171" s="241"/>
      <c r="H171" s="575" t="s">
        <v>1540</v>
      </c>
      <c r="I171" s="611" t="s">
        <v>930</v>
      </c>
      <c r="J171" s="575"/>
      <c r="K171" s="611" t="s">
        <v>931</v>
      </c>
      <c r="L171" s="575"/>
      <c r="M171" s="575"/>
      <c r="N171" s="575"/>
      <c r="O171" s="575"/>
      <c r="P171" s="612"/>
      <c r="Q171" s="575" t="s">
        <v>820</v>
      </c>
      <c r="R171" s="575"/>
      <c r="S171" s="575" t="s">
        <v>879</v>
      </c>
      <c r="T171" s="613"/>
      <c r="U171" s="575"/>
      <c r="V171" s="614"/>
      <c r="W171" s="614" t="s">
        <v>864</v>
      </c>
      <c r="X171" s="232"/>
      <c r="Y171" s="615"/>
      <c r="Z171" s="263"/>
      <c r="AA171" s="616"/>
      <c r="AB171" s="575"/>
      <c r="AC171" s="613"/>
      <c r="AD171" s="613">
        <v>1</v>
      </c>
    </row>
    <row r="172" spans="1:30" s="158" customFormat="1" ht="12.75" customHeight="1">
      <c r="A172" s="225">
        <v>158</v>
      </c>
      <c r="B172" s="217"/>
      <c r="C172" s="241" t="s">
        <v>1541</v>
      </c>
      <c r="D172" s="241"/>
      <c r="E172" s="241"/>
      <c r="F172" s="241"/>
      <c r="G172" s="241"/>
      <c r="H172" s="624" t="s">
        <v>1542</v>
      </c>
      <c r="I172" s="611" t="s">
        <v>1543</v>
      </c>
      <c r="J172" s="575"/>
      <c r="K172" s="611" t="s">
        <v>958</v>
      </c>
      <c r="L172" s="575"/>
      <c r="M172" s="575"/>
      <c r="N172" s="575"/>
      <c r="O172" s="575"/>
      <c r="P172" s="612"/>
      <c r="Q172" s="623" t="s">
        <v>817</v>
      </c>
      <c r="R172" s="575"/>
      <c r="S172" s="575" t="s">
        <v>863</v>
      </c>
      <c r="T172" s="374"/>
      <c r="U172" s="374"/>
      <c r="V172" s="614"/>
      <c r="W172" s="260" t="s">
        <v>864</v>
      </c>
      <c r="X172" s="232"/>
      <c r="Y172" s="387" t="s">
        <v>1544</v>
      </c>
      <c r="Z172" s="390" t="s">
        <v>1545</v>
      </c>
      <c r="AA172" s="616" t="s">
        <v>1546</v>
      </c>
      <c r="AB172" s="575"/>
      <c r="AC172" s="613"/>
      <c r="AD172" s="613">
        <v>1</v>
      </c>
    </row>
    <row r="173" spans="1:30" s="158" customFormat="1" ht="12.75" customHeight="1">
      <c r="A173" s="225">
        <v>159</v>
      </c>
      <c r="B173" s="217"/>
      <c r="C173" s="241" t="s">
        <v>1547</v>
      </c>
      <c r="D173" s="241"/>
      <c r="E173" s="241"/>
      <c r="F173" s="241"/>
      <c r="G173" s="241"/>
      <c r="H173" s="266" t="s">
        <v>1548</v>
      </c>
      <c r="I173" s="264" t="s">
        <v>1549</v>
      </c>
      <c r="J173" s="263"/>
      <c r="K173" s="611" t="s">
        <v>1550</v>
      </c>
      <c r="L173" s="575"/>
      <c r="M173" s="575"/>
      <c r="N173" s="575"/>
      <c r="O173" s="575"/>
      <c r="P173" s="612"/>
      <c r="Q173" s="575" t="s">
        <v>817</v>
      </c>
      <c r="R173" s="575"/>
      <c r="S173" s="575" t="s">
        <v>863</v>
      </c>
      <c r="T173" s="374"/>
      <c r="U173" s="374"/>
      <c r="V173" s="265"/>
      <c r="W173" s="260" t="s">
        <v>864</v>
      </c>
      <c r="X173" s="232"/>
      <c r="Y173" s="388" t="s">
        <v>1551</v>
      </c>
      <c r="Z173" s="390" t="s">
        <v>1545</v>
      </c>
      <c r="AA173" s="267" t="s">
        <v>1552</v>
      </c>
      <c r="AB173" s="263"/>
      <c r="AC173" s="613"/>
      <c r="AD173" s="613">
        <v>1</v>
      </c>
    </row>
    <row r="174" spans="1:30" s="530" customFormat="1" ht="12.75" customHeight="1">
      <c r="A174" s="513">
        <v>160</v>
      </c>
      <c r="B174" s="514"/>
      <c r="C174" s="515" t="s">
        <v>1553</v>
      </c>
      <c r="D174" s="515"/>
      <c r="E174" s="515"/>
      <c r="F174" s="515"/>
      <c r="G174" s="515"/>
      <c r="H174" s="516" t="s">
        <v>1554</v>
      </c>
      <c r="I174" s="517" t="s">
        <v>1555</v>
      </c>
      <c r="J174" s="518"/>
      <c r="K174" s="519" t="s">
        <v>1556</v>
      </c>
      <c r="L174" s="386"/>
      <c r="M174" s="386"/>
      <c r="N174" s="386"/>
      <c r="O174" s="386"/>
      <c r="P174" s="520"/>
      <c r="Q174" s="521" t="s">
        <v>823</v>
      </c>
      <c r="R174" s="386"/>
      <c r="S174" s="386" t="s">
        <v>863</v>
      </c>
      <c r="T174" s="522"/>
      <c r="U174" s="522"/>
      <c r="V174" s="523"/>
      <c r="W174" s="524" t="s">
        <v>864</v>
      </c>
      <c r="X174" s="525"/>
      <c r="Y174" s="526" t="s">
        <v>1557</v>
      </c>
      <c r="Z174" s="527" t="s">
        <v>1558</v>
      </c>
      <c r="AA174" s="528"/>
      <c r="AB174" s="518"/>
      <c r="AC174" s="529"/>
      <c r="AD174" s="529">
        <v>1</v>
      </c>
    </row>
    <row r="175" spans="1:30" s="249" customFormat="1" ht="12.75" customHeight="1">
      <c r="A175" s="255"/>
      <c r="B175" s="218"/>
      <c r="C175" s="218" t="s">
        <v>1559</v>
      </c>
      <c r="D175" s="218"/>
      <c r="E175" s="218"/>
      <c r="F175" s="218"/>
      <c r="G175" s="218"/>
      <c r="H175" s="503" t="s">
        <v>1560</v>
      </c>
      <c r="I175" s="501"/>
      <c r="J175" s="255"/>
      <c r="K175" s="501" t="s">
        <v>1561</v>
      </c>
      <c r="L175" s="255"/>
      <c r="M175" s="255"/>
      <c r="N175" s="255"/>
      <c r="O175" s="255"/>
      <c r="P175" s="377"/>
      <c r="Q175" s="255" t="s">
        <v>817</v>
      </c>
      <c r="R175" s="255"/>
      <c r="S175" s="255" t="s">
        <v>863</v>
      </c>
      <c r="T175" s="374"/>
      <c r="U175" s="255"/>
      <c r="V175" s="375"/>
      <c r="W175" s="375" t="s">
        <v>864</v>
      </c>
      <c r="X175" s="504"/>
      <c r="Y175" s="505" t="s">
        <v>1562</v>
      </c>
      <c r="Z175" s="255"/>
      <c r="AA175" s="245"/>
      <c r="AB175" s="255"/>
      <c r="AC175" s="374"/>
      <c r="AD175" s="374"/>
    </row>
    <row r="176" spans="1:30" s="158" customFormat="1" ht="12.75" customHeight="1">
      <c r="A176" s="225">
        <v>161.46666666666701</v>
      </c>
      <c r="B176" s="217"/>
      <c r="C176" s="241" t="s">
        <v>1563</v>
      </c>
      <c r="D176" s="241"/>
      <c r="E176" s="241"/>
      <c r="F176" s="241"/>
      <c r="G176" s="241"/>
      <c r="H176" s="269" t="s">
        <v>1564</v>
      </c>
      <c r="I176" s="264" t="s">
        <v>1565</v>
      </c>
      <c r="J176" s="263"/>
      <c r="K176" s="611" t="s">
        <v>1566</v>
      </c>
      <c r="L176" s="575"/>
      <c r="M176" s="575"/>
      <c r="N176" s="575"/>
      <c r="O176" s="575"/>
      <c r="P176" s="612"/>
      <c r="Q176" s="575" t="s">
        <v>817</v>
      </c>
      <c r="R176" s="575"/>
      <c r="S176" s="575" t="s">
        <v>863</v>
      </c>
      <c r="T176" s="268"/>
      <c r="U176" s="377"/>
      <c r="V176" s="265"/>
      <c r="W176" s="260" t="s">
        <v>864</v>
      </c>
      <c r="X176" s="232"/>
      <c r="Y176" s="389" t="s">
        <v>1567</v>
      </c>
      <c r="Z176" s="390" t="s">
        <v>1545</v>
      </c>
      <c r="AA176" s="267"/>
      <c r="AB176" s="263"/>
      <c r="AC176" s="613"/>
      <c r="AD176" s="613">
        <v>1</v>
      </c>
    </row>
    <row r="177" spans="1:1017" s="158" customFormat="1" ht="12.75" customHeight="1">
      <c r="A177" s="225">
        <v>162.69523809523801</v>
      </c>
      <c r="B177" s="217"/>
      <c r="C177" s="241" t="s">
        <v>1568</v>
      </c>
      <c r="D177" s="241"/>
      <c r="E177" s="241"/>
      <c r="F177" s="241"/>
      <c r="G177" s="241"/>
      <c r="H177" s="269"/>
      <c r="I177" s="264"/>
      <c r="J177" s="263"/>
      <c r="K177" s="611" t="s">
        <v>1569</v>
      </c>
      <c r="L177" s="575"/>
      <c r="M177" s="575"/>
      <c r="N177" s="575"/>
      <c r="O177" s="575"/>
      <c r="P177" s="612"/>
      <c r="Q177" s="623" t="s">
        <v>817</v>
      </c>
      <c r="R177" s="575" t="s">
        <v>864</v>
      </c>
      <c r="S177" s="379" t="s">
        <v>1569</v>
      </c>
      <c r="T177" s="268"/>
      <c r="U177" s="263"/>
      <c r="V177" s="265"/>
      <c r="W177" s="260" t="s">
        <v>864</v>
      </c>
      <c r="X177" s="232"/>
      <c r="Y177" s="266" t="s">
        <v>1570</v>
      </c>
      <c r="Z177" s="263"/>
      <c r="AA177" s="261"/>
      <c r="AB177" s="263"/>
      <c r="AC177" s="613"/>
      <c r="AD177" s="613">
        <v>1</v>
      </c>
    </row>
    <row r="178" spans="1:1017" s="158" customFormat="1" ht="12.75" customHeight="1">
      <c r="A178" s="225">
        <v>163.78952380952401</v>
      </c>
      <c r="B178" s="217"/>
      <c r="C178" s="241"/>
      <c r="D178" s="241" t="s">
        <v>1571</v>
      </c>
      <c r="E178" s="241"/>
      <c r="F178" s="241"/>
      <c r="G178" s="241"/>
      <c r="H178" s="269" t="s">
        <v>1572</v>
      </c>
      <c r="I178" s="264"/>
      <c r="J178" s="263"/>
      <c r="K178" s="611" t="s">
        <v>958</v>
      </c>
      <c r="L178" s="575"/>
      <c r="M178" s="575"/>
      <c r="N178" s="575"/>
      <c r="O178" s="575"/>
      <c r="P178" s="612"/>
      <c r="Q178" s="623" t="s">
        <v>817</v>
      </c>
      <c r="R178" s="575"/>
      <c r="S178" s="575" t="s">
        <v>863</v>
      </c>
      <c r="T178" s="268"/>
      <c r="U178" s="263" t="s">
        <v>1573</v>
      </c>
      <c r="V178" s="265"/>
      <c r="W178" s="260" t="s">
        <v>864</v>
      </c>
      <c r="X178" s="232"/>
      <c r="Y178" s="266"/>
      <c r="Z178" s="263"/>
      <c r="AA178" s="261"/>
      <c r="AB178" s="263"/>
      <c r="AC178" s="613"/>
      <c r="AD178" s="613">
        <v>1</v>
      </c>
    </row>
    <row r="179" spans="1:1017" s="158" customFormat="1" ht="12.75" customHeight="1">
      <c r="A179" s="498">
        <v>164.97523809523801</v>
      </c>
      <c r="B179" s="499"/>
      <c r="C179" s="500"/>
      <c r="D179" s="500" t="s">
        <v>1574</v>
      </c>
      <c r="E179" s="217" t="s">
        <v>1575</v>
      </c>
      <c r="F179" s="217"/>
      <c r="G179" s="217"/>
      <c r="H179" s="624"/>
      <c r="I179" s="611"/>
      <c r="J179" s="575"/>
      <c r="K179" s="611" t="s">
        <v>1576</v>
      </c>
      <c r="L179" s="575"/>
      <c r="M179" s="575"/>
      <c r="N179" s="575"/>
      <c r="O179" s="575"/>
      <c r="P179" s="612"/>
      <c r="Q179" s="623" t="s">
        <v>817</v>
      </c>
      <c r="R179" s="575" t="s">
        <v>864</v>
      </c>
      <c r="S179" s="243" t="s">
        <v>1041</v>
      </c>
      <c r="T179" s="613"/>
      <c r="U179" s="575"/>
      <c r="V179" s="614"/>
      <c r="W179" s="614" t="s">
        <v>864</v>
      </c>
      <c r="X179" s="232"/>
      <c r="Y179" s="615"/>
      <c r="Z179" s="575"/>
      <c r="AA179" s="616"/>
      <c r="AB179" s="575"/>
      <c r="AC179" s="613"/>
      <c r="AD179" s="613">
        <v>1</v>
      </c>
    </row>
    <row r="180" spans="1:1017" s="224" customFormat="1" ht="14.25" customHeight="1">
      <c r="A180" s="225">
        <v>172.089523809524</v>
      </c>
      <c r="B180" s="217" t="s">
        <v>1577</v>
      </c>
      <c r="C180" s="217" t="s">
        <v>1578</v>
      </c>
      <c r="D180" s="270"/>
      <c r="E180" s="217"/>
      <c r="F180" s="217"/>
      <c r="G180" s="217"/>
      <c r="H180" s="575" t="s">
        <v>1579</v>
      </c>
      <c r="I180" s="611"/>
      <c r="J180" s="575" t="s">
        <v>1580</v>
      </c>
      <c r="K180" s="611" t="s">
        <v>1581</v>
      </c>
      <c r="L180" s="575"/>
      <c r="M180" s="575"/>
      <c r="N180" s="575"/>
      <c r="O180" s="575"/>
      <c r="P180" s="612">
        <v>1</v>
      </c>
      <c r="Q180" s="575" t="s">
        <v>823</v>
      </c>
      <c r="R180" s="575" t="s">
        <v>864</v>
      </c>
      <c r="S180" s="243" t="s">
        <v>1221</v>
      </c>
      <c r="T180" s="281"/>
      <c r="U180" s="575"/>
      <c r="V180" s="614"/>
      <c r="W180" s="614" t="s">
        <v>864</v>
      </c>
      <c r="X180" s="232"/>
      <c r="Y180" s="615"/>
      <c r="Z180" s="575"/>
      <c r="AA180" s="616"/>
      <c r="AB180" s="575"/>
      <c r="AC180" s="613"/>
      <c r="AD180" s="613">
        <v>1</v>
      </c>
    </row>
    <row r="181" spans="1:1017" s="249" customFormat="1" ht="12.95" customHeight="1">
      <c r="A181" s="225">
        <v>173.275238095238</v>
      </c>
      <c r="B181" s="217" t="s">
        <v>1582</v>
      </c>
      <c r="C181" s="221"/>
      <c r="D181" s="241"/>
      <c r="E181" s="241"/>
      <c r="F181" s="241"/>
      <c r="G181" s="241"/>
      <c r="H181" s="575"/>
      <c r="I181" s="611"/>
      <c r="J181" s="575"/>
      <c r="K181" s="575" t="s">
        <v>1583</v>
      </c>
      <c r="L181" s="575"/>
      <c r="M181" s="575"/>
      <c r="N181" s="575"/>
      <c r="O181" s="575"/>
      <c r="P181" s="612"/>
      <c r="Q181" s="575" t="s">
        <v>817</v>
      </c>
      <c r="R181" s="575" t="s">
        <v>864</v>
      </c>
      <c r="S181" s="575" t="s">
        <v>1583</v>
      </c>
      <c r="T181" s="613"/>
      <c r="U181" s="575"/>
      <c r="V181" s="614"/>
      <c r="W181" s="614" t="s">
        <v>864</v>
      </c>
      <c r="X181" s="232"/>
      <c r="Y181" s="615"/>
      <c r="Z181" s="575"/>
      <c r="AA181" s="616"/>
      <c r="AB181" s="575"/>
      <c r="AC181" s="613">
        <v>1</v>
      </c>
      <c r="AD181" s="613">
        <v>1</v>
      </c>
    </row>
    <row r="182" spans="1:1017" s="249" customFormat="1" ht="12.95" customHeight="1">
      <c r="A182" s="225">
        <v>174.46095238095299</v>
      </c>
      <c r="B182" s="217"/>
      <c r="C182" s="221" t="s">
        <v>1584</v>
      </c>
      <c r="D182" s="221"/>
      <c r="E182" s="241"/>
      <c r="F182" s="241"/>
      <c r="G182" s="241"/>
      <c r="H182" s="575" t="s">
        <v>1585</v>
      </c>
      <c r="I182" s="611"/>
      <c r="J182" s="575"/>
      <c r="K182" s="611" t="s">
        <v>1586</v>
      </c>
      <c r="L182" s="575"/>
      <c r="M182" s="575"/>
      <c r="N182" s="575"/>
      <c r="O182" s="575"/>
      <c r="P182" s="612"/>
      <c r="Q182" s="575" t="s">
        <v>1587</v>
      </c>
      <c r="R182" s="575" t="s">
        <v>864</v>
      </c>
      <c r="S182" s="243" t="s">
        <v>1586</v>
      </c>
      <c r="T182" s="613"/>
      <c r="U182" s="575"/>
      <c r="V182" s="614"/>
      <c r="W182" s="614" t="s">
        <v>864</v>
      </c>
      <c r="X182" s="232"/>
      <c r="Y182" s="615"/>
      <c r="Z182" s="575"/>
      <c r="AA182" s="616"/>
      <c r="AB182" s="575"/>
      <c r="AC182" s="613">
        <v>1</v>
      </c>
      <c r="AD182" s="613">
        <v>1</v>
      </c>
    </row>
    <row r="183" spans="1:1017" s="249" customFormat="1" ht="12.95" customHeight="1">
      <c r="A183" s="225">
        <v>175.64666666666699</v>
      </c>
      <c r="B183" s="217"/>
      <c r="C183" s="221"/>
      <c r="D183" s="241" t="s">
        <v>1588</v>
      </c>
      <c r="E183" s="221"/>
      <c r="F183" s="241"/>
      <c r="G183" s="241"/>
      <c r="H183" s="575" t="s">
        <v>1589</v>
      </c>
      <c r="I183" s="611" t="s">
        <v>1590</v>
      </c>
      <c r="J183" s="575"/>
      <c r="K183" s="611" t="s">
        <v>1591</v>
      </c>
      <c r="L183" s="575"/>
      <c r="M183" s="575"/>
      <c r="N183" s="575"/>
      <c r="O183" s="575"/>
      <c r="P183" s="612"/>
      <c r="Q183" s="575" t="s">
        <v>820</v>
      </c>
      <c r="R183" s="575"/>
      <c r="S183" s="575" t="s">
        <v>863</v>
      </c>
      <c r="T183" s="613"/>
      <c r="U183" s="575"/>
      <c r="V183" s="614"/>
      <c r="W183" s="614" t="s">
        <v>864</v>
      </c>
      <c r="X183" s="232"/>
      <c r="Y183" s="615"/>
      <c r="Z183" s="575"/>
      <c r="AA183" s="616"/>
      <c r="AB183" s="575"/>
      <c r="AC183" s="613">
        <v>1</v>
      </c>
      <c r="AD183" s="613">
        <v>1</v>
      </c>
    </row>
    <row r="184" spans="1:1017" s="249" customFormat="1" ht="12.95" customHeight="1">
      <c r="A184" s="225">
        <v>176.83238095238099</v>
      </c>
      <c r="B184" s="217"/>
      <c r="C184" s="221"/>
      <c r="D184" s="241" t="s">
        <v>979</v>
      </c>
      <c r="E184" s="221"/>
      <c r="F184" s="241"/>
      <c r="G184" s="241"/>
      <c r="H184" s="575" t="s">
        <v>1592</v>
      </c>
      <c r="I184" s="611" t="s">
        <v>399</v>
      </c>
      <c r="J184" s="575"/>
      <c r="K184" s="611" t="s">
        <v>982</v>
      </c>
      <c r="L184" s="575"/>
      <c r="M184" s="575"/>
      <c r="N184" s="575"/>
      <c r="O184" s="575"/>
      <c r="P184" s="612"/>
      <c r="Q184" s="575" t="s">
        <v>817</v>
      </c>
      <c r="R184" s="575"/>
      <c r="S184" s="575" t="s">
        <v>863</v>
      </c>
      <c r="T184" s="613"/>
      <c r="U184" s="575"/>
      <c r="V184" s="614"/>
      <c r="W184" s="614" t="s">
        <v>864</v>
      </c>
      <c r="X184" s="232"/>
      <c r="Y184" s="615"/>
      <c r="Z184" s="575"/>
      <c r="AA184" s="616"/>
      <c r="AB184" s="575"/>
      <c r="AC184" s="613">
        <v>1</v>
      </c>
      <c r="AD184" s="613">
        <v>1</v>
      </c>
    </row>
    <row r="185" spans="1:1017" s="249" customFormat="1" ht="12.95" customHeight="1">
      <c r="A185" s="225">
        <v>178.01809523809601</v>
      </c>
      <c r="B185" s="217"/>
      <c r="C185" s="221"/>
      <c r="D185" s="241" t="s">
        <v>1593</v>
      </c>
      <c r="E185" s="221"/>
      <c r="F185" s="241"/>
      <c r="G185" s="241"/>
      <c r="H185" s="575" t="s">
        <v>1594</v>
      </c>
      <c r="I185" s="611" t="s">
        <v>1595</v>
      </c>
      <c r="J185" s="575"/>
      <c r="K185" s="611" t="s">
        <v>1067</v>
      </c>
      <c r="L185" s="575"/>
      <c r="M185" s="575"/>
      <c r="N185" s="575"/>
      <c r="O185" s="575"/>
      <c r="P185" s="612"/>
      <c r="Q185" s="575" t="s">
        <v>820</v>
      </c>
      <c r="R185" s="575"/>
      <c r="S185" s="575" t="s">
        <v>863</v>
      </c>
      <c r="T185" s="613"/>
      <c r="U185" s="575"/>
      <c r="V185" s="614"/>
      <c r="W185" s="614" t="s">
        <v>864</v>
      </c>
      <c r="X185" s="232"/>
      <c r="Y185" s="615"/>
      <c r="Z185" s="575"/>
      <c r="AA185" s="616"/>
      <c r="AB185" s="575"/>
      <c r="AC185" s="613">
        <v>1</v>
      </c>
      <c r="AD185" s="613">
        <v>1</v>
      </c>
    </row>
    <row r="186" spans="1:1017" s="249" customFormat="1" ht="12.95" customHeight="1">
      <c r="A186" s="225">
        <v>179.20380952381001</v>
      </c>
      <c r="B186" s="217"/>
      <c r="C186" s="262"/>
      <c r="D186" s="221" t="s">
        <v>1596</v>
      </c>
      <c r="E186" s="221"/>
      <c r="F186" s="241"/>
      <c r="G186" s="241"/>
      <c r="H186" s="575" t="s">
        <v>1597</v>
      </c>
      <c r="I186" s="611" t="s">
        <v>1598</v>
      </c>
      <c r="J186" s="575"/>
      <c r="K186" s="611" t="s">
        <v>939</v>
      </c>
      <c r="L186" s="575"/>
      <c r="M186" s="575"/>
      <c r="N186" s="575"/>
      <c r="O186" s="575"/>
      <c r="P186" s="612"/>
      <c r="Q186" s="575" t="s">
        <v>817</v>
      </c>
      <c r="R186" s="575"/>
      <c r="S186" s="575" t="s">
        <v>863</v>
      </c>
      <c r="T186" s="613"/>
      <c r="U186" s="575"/>
      <c r="V186" s="614"/>
      <c r="W186" s="614" t="s">
        <v>864</v>
      </c>
      <c r="X186" s="232"/>
      <c r="Y186" s="615"/>
      <c r="Z186" s="575"/>
      <c r="AA186" s="616"/>
      <c r="AB186" s="575"/>
      <c r="AC186" s="613">
        <v>1</v>
      </c>
      <c r="AD186" s="613">
        <v>1</v>
      </c>
    </row>
    <row r="187" spans="1:1017" s="249" customFormat="1" ht="12.95" customHeight="1">
      <c r="A187" s="225">
        <v>180.38952380952401</v>
      </c>
      <c r="B187" s="217" t="s">
        <v>1599</v>
      </c>
      <c r="C187" s="262"/>
      <c r="D187" s="241"/>
      <c r="E187" s="241"/>
      <c r="F187" s="241"/>
      <c r="G187" s="241"/>
      <c r="H187" s="575" t="s">
        <v>1600</v>
      </c>
      <c r="I187" s="611"/>
      <c r="J187" s="575"/>
      <c r="K187" s="611" t="s">
        <v>939</v>
      </c>
      <c r="L187" s="575"/>
      <c r="M187" s="575"/>
      <c r="N187" s="575"/>
      <c r="O187" s="575"/>
      <c r="P187" s="612"/>
      <c r="Q187" s="575" t="s">
        <v>817</v>
      </c>
      <c r="R187" s="575"/>
      <c r="S187" s="575" t="s">
        <v>863</v>
      </c>
      <c r="T187" s="613"/>
      <c r="U187" s="575"/>
      <c r="V187" s="613"/>
      <c r="W187" s="613" t="s">
        <v>864</v>
      </c>
      <c r="X187" s="232"/>
      <c r="Y187" s="615"/>
      <c r="Z187" s="575"/>
      <c r="AA187" s="575"/>
      <c r="AB187" s="575"/>
      <c r="AC187" s="613"/>
      <c r="AD187" s="613">
        <v>1</v>
      </c>
    </row>
    <row r="188" spans="1:1017" s="224" customFormat="1" ht="12" customHeight="1">
      <c r="A188" s="225">
        <f>SUBTOTAL(103,createCase14[ID])</f>
        <v>174</v>
      </c>
      <c r="C188" s="225">
        <f>SUBTOTAL(103,createCase14[Donnée (Niveau 2)])</f>
        <v>57</v>
      </c>
      <c r="D188" s="225">
        <f>SUBTOTAL(103,createCase14[Donnée (Niveau 3)])</f>
        <v>82</v>
      </c>
      <c r="E188" s="225">
        <f>SUBTOTAL(103,createCase14[Donnée (Niveau 4)])</f>
        <v>35</v>
      </c>
      <c r="F188" s="225">
        <f>SUBTOTAL(103,createCase14[Donnée (Niveau 5)])</f>
        <v>10</v>
      </c>
      <c r="G188" s="225">
        <f>SUBTOTAL(103,createCase14[Donnée (Niveau 6)])</f>
        <v>0</v>
      </c>
      <c r="H188" s="225">
        <f>SUBTOTAL(103,createCase14[Description])</f>
        <v>152</v>
      </c>
      <c r="I188" s="225">
        <f>SUBTOTAL(103,createCase14[Exemples])</f>
        <v>94</v>
      </c>
      <c r="J188" s="225">
        <f>SUBTOTAL(103,createCase14[Balise NexSIS])</f>
        <v>60</v>
      </c>
      <c r="K188" s="239">
        <f>SUBTOTAL(103,createCase14[Nouvelle balise])</f>
        <v>155</v>
      </c>
      <c r="L188" s="225">
        <f>SUBTOTAL(103,createCase14[Nantes - balise])</f>
        <v>21</v>
      </c>
      <c r="M188" s="225">
        <f>SUBTOTAL(103,createCase14[Nantes - description])</f>
        <v>21</v>
      </c>
      <c r="N188" s="225">
        <f>SUBTOTAL(103,createCase14[GT399])</f>
        <v>0</v>
      </c>
      <c r="O188" s="225">
        <f>SUBTOTAL(103,createCase14[GT399 description])</f>
        <v>0</v>
      </c>
      <c r="P188" s="234">
        <f>SUBTOTAL(103,createCase14[Priorisation])</f>
        <v>15</v>
      </c>
      <c r="Q188" s="225"/>
      <c r="R188" s="225">
        <f>SUBTOTAL(103,createCase14[Objet])</f>
        <v>59</v>
      </c>
      <c r="S188" s="225">
        <f>SUBTOTAL(103,createCase14[Format (ou type)])</f>
        <v>179</v>
      </c>
      <c r="T188" s="274"/>
      <c r="U188" s="225"/>
      <c r="V188" s="225"/>
      <c r="W188" s="225"/>
      <c r="Y188" s="271">
        <f>SUBTOTAL(103,createCase14[Commentaire Hub Santé])</f>
        <v>36</v>
      </c>
      <c r="Z188" s="225">
        <f>SUBTOTAL(103,createCase14[Commentaire Philippe Dreyfus])</f>
        <v>39</v>
      </c>
      <c r="AA188" s="239"/>
      <c r="AB188" s="225">
        <f>SUBTOTAL(103,createCase14[Commentaire Yann Penverne])</f>
        <v>0</v>
      </c>
      <c r="AC188" s="225">
        <f>SUBTOTAL(103,createCase14[NexSIS])-COUNTIFS(createCase14[NexSIS],"=X")</f>
        <v>83</v>
      </c>
      <c r="AD188" s="225">
        <f>SUBTOTAL(103,createCase14[Métier])-COUNTIFS(createCase14[Métier],"=X")</f>
        <v>167</v>
      </c>
    </row>
    <row r="189" spans="1:1017" s="128" customFormat="1" ht="12" customHeight="1">
      <c r="A189" s="3"/>
      <c r="B189" s="3"/>
      <c r="C189" s="131"/>
      <c r="D189" s="131"/>
      <c r="E189" s="131"/>
      <c r="F189" s="131"/>
      <c r="G189" s="5"/>
      <c r="H189" s="155"/>
      <c r="I189" s="225"/>
      <c r="J189" s="5"/>
      <c r="K189" s="155"/>
      <c r="L189" s="5"/>
      <c r="M189" s="5"/>
      <c r="N189" s="5"/>
      <c r="O189" s="5"/>
      <c r="P189" s="188"/>
      <c r="Q189" s="5"/>
      <c r="R189" s="5"/>
      <c r="S189" s="5"/>
      <c r="T189" s="56"/>
      <c r="U189" s="56"/>
      <c r="V189" s="56"/>
      <c r="W189" s="56"/>
      <c r="X189"/>
      <c r="Y189" s="178"/>
      <c r="Z189" s="5"/>
      <c r="AA189" s="159"/>
      <c r="AB189" s="56"/>
      <c r="AD189" s="56"/>
      <c r="AMA189"/>
      <c r="AMB189"/>
      <c r="AMC189"/>
    </row>
    <row r="190" spans="1:1017" s="128" customFormat="1" ht="12" customHeight="1">
      <c r="A190" s="129"/>
      <c r="B190" s="129"/>
      <c r="C190" s="129"/>
      <c r="D190" s="129"/>
      <c r="E190" s="129"/>
      <c r="F190" s="129"/>
      <c r="G190" s="96"/>
      <c r="H190" s="96"/>
      <c r="I190" s="225"/>
      <c r="J190" s="96"/>
      <c r="K190" s="159"/>
      <c r="L190" s="96"/>
      <c r="M190" s="96"/>
      <c r="N190" s="96"/>
      <c r="O190" s="96"/>
      <c r="P190" s="173"/>
      <c r="Q190" s="96"/>
      <c r="R190" s="96"/>
      <c r="S190" s="96"/>
      <c r="T190" s="278"/>
      <c r="U190" s="96"/>
      <c r="V190" s="96"/>
      <c r="W190" s="96"/>
      <c r="X190"/>
      <c r="Y190" s="179"/>
      <c r="Z190" s="96"/>
      <c r="AA190" s="159"/>
      <c r="AB190" s="96"/>
      <c r="AD190" s="96"/>
      <c r="AMA190"/>
      <c r="AMB190"/>
      <c r="AMC190"/>
    </row>
    <row r="191" spans="1:1017" s="128" customFormat="1" ht="12" customHeight="1">
      <c r="I191" s="224"/>
      <c r="P191" s="174"/>
      <c r="R191" s="96"/>
      <c r="S191" s="96"/>
      <c r="T191" s="278"/>
      <c r="U191" s="96"/>
      <c r="V191" s="96"/>
      <c r="W191" s="96"/>
      <c r="X191"/>
      <c r="Y191" s="179"/>
      <c r="Z191" s="96"/>
      <c r="AA191" s="159"/>
      <c r="AB191" s="96"/>
      <c r="AD191" s="96"/>
      <c r="AMA191"/>
      <c r="AMB191"/>
      <c r="AMC191"/>
    </row>
    <row r="192" spans="1:1017" s="128" customFormat="1" ht="12" customHeight="1">
      <c r="I192" s="224"/>
      <c r="P192" s="174"/>
      <c r="R192" s="96"/>
      <c r="S192" s="96"/>
      <c r="T192" s="278"/>
      <c r="U192" s="96"/>
      <c r="V192" s="96"/>
      <c r="W192" s="96"/>
      <c r="X192"/>
      <c r="Y192" s="179"/>
      <c r="Z192" s="96"/>
      <c r="AA192" s="159"/>
      <c r="AB192" s="96"/>
      <c r="AD192" s="96"/>
      <c r="AMA192"/>
      <c r="AMB192"/>
      <c r="AMC192"/>
    </row>
    <row r="193" spans="1:1017" s="128" customFormat="1" ht="12" customHeight="1">
      <c r="I193" s="224"/>
      <c r="P193" s="174"/>
      <c r="R193" s="96"/>
      <c r="S193" s="96"/>
      <c r="T193" s="278"/>
      <c r="U193" s="96"/>
      <c r="V193" s="96"/>
      <c r="W193" s="96"/>
      <c r="X193"/>
      <c r="Y193" s="179"/>
      <c r="Z193" s="96"/>
      <c r="AA193" s="159"/>
      <c r="AB193" s="96"/>
      <c r="AD193" s="96"/>
      <c r="AMA193"/>
      <c r="AMB193"/>
      <c r="AMC193"/>
    </row>
    <row r="194" spans="1:1017" s="128" customFormat="1" ht="12" customHeight="1">
      <c r="I194" s="224"/>
      <c r="P194" s="174"/>
      <c r="R194" s="96"/>
      <c r="S194" s="96"/>
      <c r="T194" s="278"/>
      <c r="U194" s="96"/>
      <c r="V194" s="96"/>
      <c r="W194" s="96"/>
      <c r="X194"/>
      <c r="Y194" s="179"/>
      <c r="Z194" s="96"/>
      <c r="AA194" s="159"/>
      <c r="AB194" s="96"/>
      <c r="AD194" s="96"/>
      <c r="AMA194"/>
      <c r="AMB194"/>
      <c r="AMC194"/>
    </row>
    <row r="195" spans="1:1017" ht="12" customHeight="1">
      <c r="G195" s="128"/>
      <c r="H195" s="128"/>
      <c r="I195" s="224"/>
      <c r="J195" s="128"/>
      <c r="K195" s="128"/>
      <c r="L195" s="128"/>
      <c r="M195" s="128"/>
      <c r="N195" s="128"/>
      <c r="O195" s="128"/>
      <c r="P195" s="174"/>
      <c r="Q195" s="128"/>
    </row>
    <row r="196" spans="1:1017" s="117" customFormat="1" ht="12" customHeight="1">
      <c r="A196" s="128"/>
      <c r="B196" s="128"/>
      <c r="C196" s="128"/>
      <c r="D196" s="128"/>
      <c r="E196" s="128"/>
      <c r="F196" s="128"/>
      <c r="G196" s="96"/>
      <c r="H196" s="96"/>
      <c r="I196" s="225"/>
      <c r="J196" s="96"/>
      <c r="K196" s="159"/>
      <c r="L196" s="96"/>
      <c r="M196" s="96"/>
      <c r="N196" s="96"/>
      <c r="O196" s="96"/>
      <c r="P196" s="173"/>
      <c r="Q196" s="96"/>
      <c r="R196" s="96"/>
      <c r="S196" s="96"/>
      <c r="T196" s="278"/>
      <c r="U196" s="96"/>
      <c r="V196" s="96"/>
      <c r="W196" s="96"/>
      <c r="X196"/>
      <c r="Y196" s="179"/>
      <c r="Z196" s="96"/>
      <c r="AA196" s="161"/>
      <c r="AB196" s="96"/>
      <c r="AD196" s="96"/>
      <c r="AMB196"/>
    </row>
    <row r="197" spans="1:1017" ht="12" customHeight="1">
      <c r="A197" s="117"/>
      <c r="B197" s="117"/>
      <c r="C197" s="117"/>
      <c r="D197" s="117"/>
      <c r="E197" s="117"/>
      <c r="F197" s="117"/>
      <c r="G197" s="117"/>
      <c r="H197" s="117"/>
      <c r="I197" s="251"/>
      <c r="J197" s="117"/>
      <c r="K197" s="117"/>
      <c r="L197" s="117"/>
      <c r="M197" s="117"/>
      <c r="N197" s="117"/>
      <c r="O197" s="117"/>
      <c r="P197" s="189"/>
      <c r="Q197" s="117"/>
    </row>
    <row r="198" spans="1:1017" ht="12" customHeight="1">
      <c r="R198" s="112"/>
      <c r="S198" s="112"/>
      <c r="T198" s="125"/>
      <c r="U198" s="112"/>
      <c r="V198" s="112"/>
      <c r="W198" s="112"/>
      <c r="Y198" s="180"/>
      <c r="Z198" s="112"/>
      <c r="AB198" s="112"/>
      <c r="AD198" s="112"/>
    </row>
    <row r="210" spans="1:6" ht="12" customHeight="1">
      <c r="A210" s="130"/>
      <c r="B210" s="130"/>
      <c r="C210" s="130"/>
      <c r="D210" s="130"/>
      <c r="E210" s="130"/>
      <c r="F210" s="130"/>
    </row>
    <row r="211" spans="1:6" ht="12" customHeight="1">
      <c r="A211" s="130"/>
      <c r="B211" s="130"/>
      <c r="C211" s="130"/>
      <c r="D211" s="130"/>
      <c r="E211" s="130"/>
      <c r="F211" s="130"/>
    </row>
    <row r="212" spans="1:6" ht="12" customHeight="1">
      <c r="A212" s="130"/>
      <c r="B212" s="130"/>
      <c r="C212" s="130"/>
      <c r="D212" s="130"/>
      <c r="E212" s="130"/>
      <c r="F212" s="130"/>
    </row>
    <row r="213" spans="1:6" ht="12" customHeight="1">
      <c r="A213" s="130"/>
      <c r="B213" s="130"/>
      <c r="C213" s="130"/>
      <c r="D213" s="130"/>
      <c r="E213" s="130"/>
      <c r="F213" s="130"/>
    </row>
    <row r="214" spans="1:6" ht="12" customHeight="1">
      <c r="A214" s="130"/>
      <c r="B214" s="130"/>
      <c r="C214" s="130"/>
      <c r="D214" s="130"/>
      <c r="E214" s="130"/>
      <c r="F214" s="130"/>
    </row>
    <row r="215" spans="1:6" ht="12" customHeight="1">
      <c r="A215" s="130"/>
      <c r="B215" s="130"/>
      <c r="C215" s="130"/>
      <c r="D215" s="130"/>
      <c r="E215" s="130"/>
      <c r="F215" s="130"/>
    </row>
    <row r="216" spans="1:6" ht="12" customHeight="1">
      <c r="A216" s="130"/>
      <c r="B216" s="130"/>
      <c r="C216" s="130"/>
      <c r="D216" s="130"/>
      <c r="E216" s="130"/>
      <c r="F216" s="130"/>
    </row>
    <row r="217" spans="1:6" ht="12" customHeight="1">
      <c r="A217" s="130"/>
      <c r="B217" s="130"/>
      <c r="C217" s="130"/>
      <c r="D217" s="130"/>
      <c r="E217" s="130"/>
      <c r="F217" s="130"/>
    </row>
    <row r="218" spans="1:6" ht="12" customHeight="1">
      <c r="A218" s="129"/>
      <c r="B218" s="129"/>
      <c r="C218" s="129"/>
      <c r="D218" s="129"/>
      <c r="E218" s="129"/>
      <c r="F218" s="129"/>
    </row>
    <row r="219" spans="1:6" ht="12" customHeight="1">
      <c r="A219" s="129"/>
      <c r="B219" s="129"/>
      <c r="C219" s="129"/>
      <c r="D219" s="129"/>
      <c r="E219" s="129"/>
      <c r="F219" s="129"/>
    </row>
    <row r="220" spans="1:6" ht="12" customHeight="1">
      <c r="A220" s="129"/>
      <c r="B220" s="129"/>
      <c r="C220" s="129"/>
      <c r="D220" s="129"/>
      <c r="E220" s="129"/>
      <c r="F220" s="129"/>
    </row>
    <row r="221" spans="1:6" ht="12" customHeight="1">
      <c r="A221" s="129"/>
      <c r="B221" s="129"/>
      <c r="C221" s="129"/>
      <c r="D221" s="129"/>
      <c r="E221" s="129"/>
      <c r="F221" s="129"/>
    </row>
    <row r="222" spans="1:6" ht="12" customHeight="1">
      <c r="A222" s="129"/>
      <c r="B222" s="129"/>
      <c r="C222" s="129"/>
      <c r="D222" s="129"/>
      <c r="E222" s="129"/>
      <c r="F222" s="129"/>
    </row>
    <row r="223" spans="1:6" ht="12" customHeight="1">
      <c r="A223" s="129"/>
      <c r="B223" s="129"/>
      <c r="C223" s="129"/>
      <c r="D223" s="129"/>
      <c r="E223" s="129"/>
      <c r="F223" s="129"/>
    </row>
    <row r="224" spans="1:6" ht="12" customHeight="1">
      <c r="A224" s="129"/>
      <c r="B224" s="129"/>
      <c r="C224" s="129"/>
      <c r="D224" s="129"/>
      <c r="E224" s="129"/>
      <c r="F224" s="129"/>
    </row>
    <row r="225" spans="1:1016" s="117" customFormat="1" ht="12" customHeight="1">
      <c r="A225" s="129"/>
      <c r="B225" s="129"/>
      <c r="C225" s="129"/>
      <c r="D225" s="129"/>
      <c r="E225" s="129"/>
      <c r="F225" s="129"/>
      <c r="G225" s="96"/>
      <c r="H225" s="96"/>
      <c r="I225" s="225"/>
      <c r="J225" s="96"/>
      <c r="K225" s="159"/>
      <c r="L225" s="96"/>
      <c r="M225" s="96"/>
      <c r="N225" s="96"/>
      <c r="O225" s="96"/>
      <c r="P225" s="173"/>
      <c r="Q225" s="96"/>
      <c r="R225" s="96"/>
      <c r="S225" s="96"/>
      <c r="T225" s="278"/>
      <c r="U225" s="96"/>
      <c r="V225" s="96"/>
      <c r="W225" s="96"/>
      <c r="X225"/>
      <c r="Y225" s="179"/>
      <c r="Z225" s="96"/>
      <c r="AA225" s="161"/>
      <c r="AB225" s="96"/>
      <c r="AD225" s="96"/>
      <c r="AMB225"/>
    </row>
    <row r="226" spans="1:1016" s="117" customFormat="1" ht="12" customHeight="1">
      <c r="A226" s="130"/>
      <c r="B226" s="130"/>
      <c r="C226" s="130"/>
      <c r="D226" s="130"/>
      <c r="E226" s="130"/>
      <c r="F226" s="130"/>
      <c r="G226" s="96"/>
      <c r="H226" s="96"/>
      <c r="I226" s="225"/>
      <c r="J226" s="96"/>
      <c r="K226" s="159"/>
      <c r="L226" s="96"/>
      <c r="M226" s="96"/>
      <c r="N226" s="96"/>
      <c r="O226" s="96"/>
      <c r="P226" s="173"/>
      <c r="Q226" s="96"/>
      <c r="R226" s="96"/>
      <c r="S226" s="96"/>
      <c r="T226" s="278"/>
      <c r="U226" s="96"/>
      <c r="V226" s="96"/>
      <c r="W226" s="96"/>
      <c r="X226"/>
      <c r="Y226" s="179"/>
      <c r="Z226" s="96"/>
      <c r="AA226" s="161"/>
      <c r="AB226" s="96"/>
      <c r="AD226" s="96"/>
      <c r="AMB226"/>
    </row>
    <row r="227" spans="1:1016" s="117" customFormat="1" ht="12" customHeight="1">
      <c r="A227" s="123"/>
      <c r="B227" s="123"/>
      <c r="C227" s="123"/>
      <c r="D227" s="123"/>
      <c r="E227" s="123"/>
      <c r="F227" s="123"/>
      <c r="G227" s="112"/>
      <c r="H227" s="112"/>
      <c r="I227" s="277"/>
      <c r="J227" s="112"/>
      <c r="K227" s="161"/>
      <c r="L227" s="112"/>
      <c r="M227" s="112"/>
      <c r="N227" s="112"/>
      <c r="O227" s="112"/>
      <c r="P227" s="190"/>
      <c r="Q227" s="112"/>
      <c r="R227" s="112"/>
      <c r="S227" s="112"/>
      <c r="T227" s="125"/>
      <c r="U227" s="112"/>
      <c r="V227" s="112"/>
      <c r="W227" s="112"/>
      <c r="X227"/>
      <c r="Y227" s="180"/>
      <c r="Z227" s="112"/>
      <c r="AA227" s="161"/>
      <c r="AB227" s="112"/>
      <c r="AD227" s="112"/>
      <c r="AMB227"/>
    </row>
    <row r="228" spans="1:1016" s="117" customFormat="1" ht="12" customHeight="1">
      <c r="A228" s="123"/>
      <c r="B228" s="123"/>
      <c r="C228" s="123"/>
      <c r="D228" s="123"/>
      <c r="E228" s="123"/>
      <c r="F228" s="123"/>
      <c r="G228" s="112"/>
      <c r="H228" s="112"/>
      <c r="I228" s="277"/>
      <c r="J228" s="112"/>
      <c r="K228" s="161"/>
      <c r="L228" s="112"/>
      <c r="M228" s="112"/>
      <c r="N228" s="112"/>
      <c r="O228" s="112"/>
      <c r="P228" s="190"/>
      <c r="Q228" s="112"/>
      <c r="R228" s="112"/>
      <c r="S228" s="112"/>
      <c r="T228" s="125"/>
      <c r="U228" s="112"/>
      <c r="V228" s="112"/>
      <c r="W228" s="112"/>
      <c r="X228"/>
      <c r="Y228" s="180"/>
      <c r="Z228" s="112"/>
      <c r="AA228" s="161"/>
      <c r="AB228" s="112"/>
      <c r="AD228" s="112"/>
      <c r="AMB228"/>
    </row>
    <row r="229" spans="1:1016" s="117" customFormat="1" ht="12" customHeight="1">
      <c r="A229" s="123"/>
      <c r="B229" s="123"/>
      <c r="C229" s="123"/>
      <c r="D229" s="123"/>
      <c r="E229" s="123"/>
      <c r="F229" s="123"/>
      <c r="G229" s="112"/>
      <c r="H229" s="112"/>
      <c r="I229" s="277"/>
      <c r="J229" s="112"/>
      <c r="K229" s="161"/>
      <c r="L229" s="112"/>
      <c r="M229" s="112"/>
      <c r="N229" s="112"/>
      <c r="O229" s="112"/>
      <c r="P229" s="190"/>
      <c r="Q229" s="112"/>
      <c r="R229" s="112"/>
      <c r="S229" s="112"/>
      <c r="T229" s="125"/>
      <c r="U229" s="112"/>
      <c r="V229" s="112"/>
      <c r="W229" s="112"/>
      <c r="X229"/>
      <c r="Y229" s="180"/>
      <c r="Z229" s="112"/>
      <c r="AA229" s="161"/>
      <c r="AB229" s="112"/>
      <c r="AD229" s="112"/>
      <c r="AMB229"/>
    </row>
    <row r="230" spans="1:1016" s="117" customFormat="1" ht="12" customHeight="1">
      <c r="A230" s="123"/>
      <c r="B230" s="123"/>
      <c r="C230" s="123"/>
      <c r="D230" s="123"/>
      <c r="E230" s="123"/>
      <c r="F230" s="123"/>
      <c r="G230" s="112"/>
      <c r="H230" s="112"/>
      <c r="I230" s="277"/>
      <c r="J230" s="112"/>
      <c r="K230" s="161"/>
      <c r="L230" s="112"/>
      <c r="M230" s="112"/>
      <c r="N230" s="112"/>
      <c r="O230" s="112"/>
      <c r="P230" s="190"/>
      <c r="Q230" s="112"/>
      <c r="R230" s="112"/>
      <c r="S230" s="112"/>
      <c r="T230" s="125"/>
      <c r="U230" s="112"/>
      <c r="V230" s="112"/>
      <c r="W230" s="112"/>
      <c r="X230"/>
      <c r="Y230" s="180"/>
      <c r="Z230" s="112"/>
      <c r="AA230" s="161"/>
      <c r="AB230" s="112"/>
      <c r="AD230" s="112"/>
      <c r="AMB230"/>
    </row>
    <row r="231" spans="1:1016" s="117" customFormat="1" ht="12" customHeight="1">
      <c r="A231" s="123"/>
      <c r="B231" s="123"/>
      <c r="C231" s="123"/>
      <c r="D231" s="123"/>
      <c r="E231" s="123"/>
      <c r="F231" s="123"/>
      <c r="G231" s="112"/>
      <c r="H231" s="112"/>
      <c r="I231" s="277"/>
      <c r="J231" s="112"/>
      <c r="K231" s="161"/>
      <c r="L231" s="112"/>
      <c r="M231" s="112"/>
      <c r="N231" s="112"/>
      <c r="O231" s="112"/>
      <c r="P231" s="190"/>
      <c r="Q231" s="112"/>
      <c r="R231" s="112"/>
      <c r="S231" s="112"/>
      <c r="T231" s="125"/>
      <c r="U231" s="112"/>
      <c r="V231" s="112"/>
      <c r="W231" s="112"/>
      <c r="X231"/>
      <c r="Y231" s="180"/>
      <c r="Z231" s="112"/>
      <c r="AA231" s="161"/>
      <c r="AB231" s="112"/>
      <c r="AD231" s="112"/>
      <c r="AMB231"/>
    </row>
    <row r="232" spans="1:1016" ht="12" customHeight="1">
      <c r="A232" s="123"/>
      <c r="B232" s="123"/>
      <c r="C232" s="123"/>
      <c r="D232" s="123"/>
      <c r="E232" s="123"/>
      <c r="F232" s="123"/>
      <c r="G232" s="112"/>
      <c r="H232" s="112"/>
      <c r="I232" s="277"/>
      <c r="J232" s="112"/>
      <c r="K232" s="161"/>
      <c r="L232" s="112"/>
      <c r="M232" s="112"/>
      <c r="N232" s="112"/>
      <c r="O232" s="112"/>
      <c r="P232" s="190"/>
      <c r="Q232" s="112"/>
      <c r="R232" s="112"/>
      <c r="S232" s="112"/>
      <c r="T232" s="125"/>
      <c r="U232" s="112"/>
      <c r="V232" s="112"/>
      <c r="W232" s="112"/>
      <c r="Y232" s="180"/>
      <c r="Z232" s="112"/>
      <c r="AB232" s="112"/>
      <c r="AD232" s="112"/>
    </row>
    <row r="233" spans="1:1016" ht="12" customHeight="1">
      <c r="A233" s="123"/>
      <c r="B233" s="123"/>
      <c r="C233" s="123"/>
      <c r="D233" s="123"/>
      <c r="E233" s="123"/>
      <c r="F233" s="123"/>
      <c r="G233" s="112"/>
      <c r="H233" s="112"/>
      <c r="I233" s="277"/>
      <c r="J233" s="112"/>
      <c r="K233" s="161"/>
      <c r="L233" s="112"/>
      <c r="M233" s="112"/>
      <c r="N233" s="112"/>
      <c r="O233" s="112"/>
      <c r="P233" s="190"/>
      <c r="Q233" s="112"/>
      <c r="R233" s="112"/>
      <c r="S233" s="112"/>
      <c r="T233" s="125"/>
      <c r="U233" s="112"/>
      <c r="V233" s="112"/>
      <c r="W233" s="112"/>
      <c r="Y233" s="180"/>
      <c r="Z233" s="112"/>
      <c r="AB233" s="112"/>
      <c r="AD233" s="112"/>
    </row>
    <row r="234" spans="1:1016" ht="12" customHeight="1">
      <c r="A234" s="130"/>
      <c r="B234" s="130"/>
      <c r="C234" s="130"/>
      <c r="D234" s="130"/>
      <c r="E234" s="130"/>
      <c r="F234" s="130"/>
    </row>
    <row r="235" spans="1:1016" ht="12" customHeight="1">
      <c r="A235" s="130"/>
      <c r="B235" s="130"/>
      <c r="C235" s="130"/>
      <c r="D235" s="130"/>
      <c r="E235" s="130"/>
      <c r="F235" s="130"/>
    </row>
    <row r="236" spans="1:1016" ht="12" customHeight="1">
      <c r="A236" s="130"/>
      <c r="B236" s="130"/>
      <c r="C236" s="130"/>
      <c r="D236" s="130"/>
      <c r="E236" s="130"/>
      <c r="F236" s="130"/>
    </row>
    <row r="237" spans="1:1016" ht="12" customHeight="1">
      <c r="A237" s="136"/>
      <c r="B237" s="136"/>
      <c r="C237" s="136"/>
      <c r="D237" s="136"/>
      <c r="E237" s="136"/>
      <c r="F237" s="136"/>
    </row>
    <row r="238" spans="1:1016" ht="12" customHeight="1">
      <c r="A238" s="136"/>
      <c r="B238" s="136"/>
      <c r="C238" s="136"/>
      <c r="D238" s="136"/>
      <c r="E238" s="136"/>
      <c r="F238" s="136"/>
    </row>
  </sheetData>
  <mergeCells count="5">
    <mergeCell ref="H1:J2"/>
    <mergeCell ref="O1:P1"/>
    <mergeCell ref="L7:O7"/>
    <mergeCell ref="V7:W7"/>
    <mergeCell ref="AC7:AD7"/>
  </mergeCells>
  <conditionalFormatting sqref="A9:A161 B28:G37 B38:B39 D38:D39 F38:G39 B101:G124 E125:G128 B125:C135 F129:G130 E131:G135 E137:G150 B151:G161 A162:G162 D163:G163 B163:C168 A163:A187 D164:D168 F164:G168 B169:G187 B40:G86 B88:G99">
    <cfRule type="expression" dxfId="1104" priority="214">
      <formula>$AC9=1</formula>
    </cfRule>
  </conditionalFormatting>
  <conditionalFormatting sqref="A9:A161 D37:D39 B38:B39 F38:G39 E124:G128 B125:C135 F129:G130 E131:G135 E137:G150 B151:G161 A162:G162 D163:G163 B163:C168 A163:A187 D164:D168 F164:G168 B169:G187">
    <cfRule type="expression" dxfId="1103" priority="213">
      <formula>$AD9=1</formula>
    </cfRule>
  </conditionalFormatting>
  <conditionalFormatting sqref="A189:F190 A210:F1050">
    <cfRule type="expression" dxfId="1102" priority="209">
      <formula>$AD189=1</formula>
    </cfRule>
    <cfRule type="expression" dxfId="1101" priority="210">
      <formula>$AB189=1</formula>
    </cfRule>
    <cfRule type="expression" dxfId="1100" priority="208">
      <formula>AND($AD189=1,$AB189=1)</formula>
    </cfRule>
    <cfRule type="expression" dxfId="1099" priority="207">
      <formula>OR($AD189="X",$AB189="X")</formula>
    </cfRule>
  </conditionalFormatting>
  <conditionalFormatting sqref="A9:G36 D37:G37 A37:C39 D38:D39 F38:G39 B40:G128 A40:A161 B129:D130 F129:G130 B131:G135 B137:G161 A162:G162 D163:G163 B163:C168 A163:A187 D164:D168 F164:G168 B169:G187">
    <cfRule type="expression" dxfId="1098" priority="215">
      <formula>AND(NOT(ISBLANK($W9)),ISBLANK($AC9),ISBLANK($AD9))</formula>
    </cfRule>
  </conditionalFormatting>
  <conditionalFormatting sqref="B38:B39 E124:G128 B125:C135 F129:G130 E131:G135 E137:G150 B151:G161 B169:G187 D37:D39 D163:G163 D164:D168 A9:A161 F38:G39 A162:G162 B163:C168 A163:A187 F164:G168">
    <cfRule type="expression" dxfId="1097" priority="212">
      <formula>AND($AD9=1,$AC9=1)</formula>
    </cfRule>
  </conditionalFormatting>
  <conditionalFormatting sqref="B117:B120">
    <cfRule type="expression" dxfId="1096" priority="194">
      <formula>AND($R117="X",#REF!&lt;&gt;"")</formula>
    </cfRule>
  </conditionalFormatting>
  <conditionalFormatting sqref="B161 B163:B168">
    <cfRule type="expression" dxfId="1095" priority="227">
      <formula>AND($R161="X",#REF!&lt;&gt;"")</formula>
    </cfRule>
  </conditionalFormatting>
  <conditionalFormatting sqref="B136:C150 B151:G161 B169:G187 B28:G36 A162:G162 D163:G163 D37:D39 A9:A161 B37:C37 F38:G39 E136:G136 B163:C168 A163:A187 F164:G168">
    <cfRule type="expression" dxfId="1094" priority="124">
      <formula>OR($AD9="X",$AC9="X")</formula>
    </cfRule>
  </conditionalFormatting>
  <conditionalFormatting sqref="B9:G27 D125:D134 E135">
    <cfRule type="expression" dxfId="1093" priority="187">
      <formula>OR($AD9="X",$AC9="X")</formula>
    </cfRule>
    <cfRule type="expression" dxfId="1092" priority="190">
      <formula>$AC9=1</formula>
    </cfRule>
  </conditionalFormatting>
  <conditionalFormatting sqref="B9:G36 B37:D37 D125:D134 E135">
    <cfRule type="expression" dxfId="1091" priority="189">
      <formula>$AD9=1</formula>
    </cfRule>
  </conditionalFormatting>
  <conditionalFormatting sqref="B9:G36 D125:D134 E135 B37:D37">
    <cfRule type="expression" dxfId="1090" priority="188">
      <formula>AND($AD9=1,$AC9=1)</formula>
    </cfRule>
  </conditionalFormatting>
  <conditionalFormatting sqref="B40:G124 E125:G128 E131:G135 F129:G130 E137:G150 B125:C135 B38:B39">
    <cfRule type="expression" dxfId="1089" priority="211">
      <formula>OR($AD38="X",$AC38="X")</formula>
    </cfRule>
  </conditionalFormatting>
  <conditionalFormatting sqref="B40:G124">
    <cfRule type="expression" dxfId="1088" priority="193">
      <formula>$AD40=1</formula>
    </cfRule>
    <cfRule type="expression" dxfId="1087" priority="192">
      <formula>AND($AD40=1,$AC40=1)</formula>
    </cfRule>
  </conditionalFormatting>
  <conditionalFormatting sqref="B136:G136">
    <cfRule type="expression" dxfId="1086" priority="130">
      <formula>AND(NOT(ISBLANK($W136)),ISBLANK($AC136),ISBLANK($AD136))</formula>
    </cfRule>
  </conditionalFormatting>
  <conditionalFormatting sqref="C37 D37:D39">
    <cfRule type="expression" dxfId="1085" priority="232">
      <formula>AND($R37="X",OR($B37&lt;&gt;"",#REF!&lt;&gt;""))</formula>
    </cfRule>
  </conditionalFormatting>
  <conditionalFormatting sqref="C38:C39">
    <cfRule type="expression" dxfId="1084" priority="19">
      <formula>$AC38=1</formula>
    </cfRule>
    <cfRule type="expression" dxfId="1083" priority="15">
      <formula>AND($R38="X",OR(#REF!&lt;&gt;"",$B38&lt;&gt;""))</formula>
    </cfRule>
    <cfRule type="expression" dxfId="1082" priority="16">
      <formula>OR($AD38="X",$AC38="X")</formula>
    </cfRule>
    <cfRule type="expression" dxfId="1081" priority="17">
      <formula>AND($AD38=1,$AC38=1)</formula>
    </cfRule>
    <cfRule type="expression" dxfId="1080" priority="18">
      <formula>$AD38=1</formula>
    </cfRule>
  </conditionalFormatting>
  <conditionalFormatting sqref="C136">
    <cfRule type="expression" dxfId="1079" priority="112">
      <formula>OR($AD136="X",$AC136="X")</formula>
    </cfRule>
    <cfRule type="expression" dxfId="1078" priority="113">
      <formula>AND($AD136=1,$AC136=1)</formula>
    </cfRule>
    <cfRule type="expression" dxfId="1077" priority="114">
      <formula>$AD136=1</formula>
    </cfRule>
    <cfRule type="expression" dxfId="1076" priority="115">
      <formula>$AC136=1</formula>
    </cfRule>
  </conditionalFormatting>
  <conditionalFormatting sqref="C162">
    <cfRule type="expression" dxfId="1075" priority="50">
      <formula>OR($AD162="X",$AC162="X")</formula>
    </cfRule>
    <cfRule type="expression" dxfId="1074" priority="51">
      <formula>AND($AD162=1,$AC162=1)</formula>
    </cfRule>
    <cfRule type="expression" dxfId="1073" priority="52">
      <formula>$AD162=1</formula>
    </cfRule>
    <cfRule type="expression" dxfId="1072" priority="53">
      <formula>AND($R162="X",$B162&lt;&gt;"")</formula>
    </cfRule>
  </conditionalFormatting>
  <conditionalFormatting sqref="C163:C168">
    <cfRule type="expression" dxfId="1071" priority="228">
      <formula>AND($R163="X",OR(#REF!&lt;&gt;"",$B163&lt;&gt;""))</formula>
    </cfRule>
  </conditionalFormatting>
  <conditionalFormatting sqref="C164">
    <cfRule type="expression" dxfId="1070" priority="102">
      <formula>OR($AD164="X",$AC164="X")</formula>
    </cfRule>
  </conditionalFormatting>
  <conditionalFormatting sqref="C169:C170 D135:E135 C9:C36 C151:C160 C180:C187 C40:C116 C121:C135 D127:D134">
    <cfRule type="expression" dxfId="1069" priority="183">
      <formula>AND($R9="X",$B9&lt;&gt;"")</formula>
    </cfRule>
  </conditionalFormatting>
  <conditionalFormatting sqref="C170">
    <cfRule type="expression" dxfId="1068" priority="175">
      <formula>$AD170=1</formula>
    </cfRule>
    <cfRule type="expression" dxfId="1067" priority="174">
      <formula>AND($AD170=1,$AC170=1)</formula>
    </cfRule>
    <cfRule type="expression" dxfId="1066" priority="173">
      <formula>OR($AD170="X",$AC170="X")</formula>
    </cfRule>
  </conditionalFormatting>
  <conditionalFormatting sqref="C171:C179">
    <cfRule type="expression" dxfId="1065" priority="221">
      <formula>AND($R171="X",OR($B171&lt;&gt;"",#REF!&lt;&gt;""))</formula>
    </cfRule>
  </conditionalFormatting>
  <conditionalFormatting sqref="C175">
    <cfRule type="expression" dxfId="1064" priority="2">
      <formula>AND($AD175=1,$AC175=1)</formula>
    </cfRule>
    <cfRule type="expression" dxfId="1063" priority="3">
      <formula>$AD175=1</formula>
    </cfRule>
    <cfRule type="expression" dxfId="1062" priority="4">
      <formula>AND($R175="X",$B175&lt;&gt;"")</formula>
    </cfRule>
    <cfRule type="expression" dxfId="1061" priority="1">
      <formula>OR($AD175="X",$AC175="X")</formula>
    </cfRule>
  </conditionalFormatting>
  <conditionalFormatting sqref="C118:D120">
    <cfRule type="expression" dxfId="1060" priority="195">
      <formula>AND($R118="X",OR(#REF!&lt;&gt;"",$B118&lt;&gt;""))</formula>
    </cfRule>
  </conditionalFormatting>
  <conditionalFormatting sqref="C136:D150">
    <cfRule type="expression" dxfId="1059" priority="119">
      <formula>AND($R136="X",$B136&lt;&gt;"")</formula>
    </cfRule>
  </conditionalFormatting>
  <conditionalFormatting sqref="C117:G117">
    <cfRule type="expression" dxfId="1058" priority="191">
      <formula>AND($R117="X",$B117&lt;&gt;"")</formula>
    </cfRule>
  </conditionalFormatting>
  <conditionalFormatting sqref="D9:D36 C161:G161">
    <cfRule type="expression" dxfId="1057" priority="57">
      <formula>AND($R9="X",OR($B9&lt;&gt;"",$C9&lt;&gt;""))</formula>
    </cfRule>
  </conditionalFormatting>
  <conditionalFormatting sqref="D26:D27">
    <cfRule type="expression" dxfId="1056" priority="131">
      <formula>AND($R26="X",$B26&lt;&gt;"")</formula>
    </cfRule>
  </conditionalFormatting>
  <conditionalFormatting sqref="D37">
    <cfRule type="expression" dxfId="1055" priority="236">
      <formula>$AC37=1</formula>
    </cfRule>
    <cfRule type="expression" dxfId="1054" priority="235">
      <formula>AND($R37="X",OR($B37&lt;&gt;"",#REF!&lt;&gt;"",$D37&lt;&gt;"",#REF!&lt;&gt;""))</formula>
    </cfRule>
    <cfRule type="expression" dxfId="1053" priority="234">
      <formula>AND($R37="X",OR($B37&lt;&gt;"",#REF!&lt;&gt;"",$C37&lt;&gt;"",$D37&lt;&gt;""))</formula>
    </cfRule>
    <cfRule type="expression" dxfId="1052" priority="233">
      <formula>AND($R37="X",OR($B37&lt;&gt;"",#REF!&lt;&gt;"",$C37&lt;&gt;""))</formula>
    </cfRule>
    <cfRule type="expression" dxfId="1051" priority="241">
      <formula>AND($R37="X",OR($B37&lt;&gt;"",#REF!&lt;&gt;""))</formula>
    </cfRule>
    <cfRule type="expression" dxfId="1050" priority="240">
      <formula>AND($R37="X",$B37&lt;&gt;"")</formula>
    </cfRule>
    <cfRule type="expression" dxfId="1049" priority="239">
      <formula>$AD37=1</formula>
    </cfRule>
    <cfRule type="expression" dxfId="1048" priority="238">
      <formula>AND($AD37=1,$AC37=1)</formula>
    </cfRule>
    <cfRule type="expression" dxfId="1047" priority="237">
      <formula>AND($R37="X",OR($B37&lt;&gt;"",#REF!&lt;&gt;"",$C37&lt;&gt;""))</formula>
    </cfRule>
  </conditionalFormatting>
  <conditionalFormatting sqref="D118 D180:D187">
    <cfRule type="expression" dxfId="1046" priority="103">
      <formula>AND($R118="X",OR($B118&lt;&gt;"",$C118&lt;&gt;""))</formula>
    </cfRule>
  </conditionalFormatting>
  <conditionalFormatting sqref="D121:D124 E123:G123 D169:D170 D157:D160 C180">
    <cfRule type="expression" dxfId="1045" priority="201">
      <formula>AND($R121="X",OR($B121&lt;&gt;"",$C121&lt;&gt;""))</formula>
    </cfRule>
  </conditionalFormatting>
  <conditionalFormatting sqref="D125:D126">
    <cfRule type="expression" dxfId="1044" priority="180">
      <formula>AND($R125="X",OR(#REF!&lt;&gt;"",$B125&lt;&gt;""))</formula>
    </cfRule>
  </conditionalFormatting>
  <conditionalFormatting sqref="D135">
    <cfRule type="expression" dxfId="1043" priority="165">
      <formula>OR($AD135="X",$AC135="X")</formula>
    </cfRule>
    <cfRule type="expression" dxfId="1042" priority="167">
      <formula>$AD135=1</formula>
    </cfRule>
    <cfRule type="expression" dxfId="1041" priority="166">
      <formula>AND($AD135=1,$AC135=1)</formula>
    </cfRule>
  </conditionalFormatting>
  <conditionalFormatting sqref="D135:D150">
    <cfRule type="expression" dxfId="1040" priority="123">
      <formula>$AC135=1</formula>
    </cfRule>
  </conditionalFormatting>
  <conditionalFormatting sqref="D136">
    <cfRule type="expression" dxfId="1039" priority="111">
      <formula>$AC136=1</formula>
    </cfRule>
    <cfRule type="expression" dxfId="1038" priority="110">
      <formula>$AD136=1</formula>
    </cfRule>
    <cfRule type="expression" dxfId="1037" priority="109">
      <formula>AND($AD136=1,$AC136=1)</formula>
    </cfRule>
    <cfRule type="expression" dxfId="1036" priority="108">
      <formula>AND($R136="X",OR($B136&lt;&gt;"",$C136&lt;&gt;"",$D136&lt;&gt;""))</formula>
    </cfRule>
    <cfRule type="expression" dxfId="1035" priority="107">
      <formula>OR($AD136="X",$AC136="X")</formula>
    </cfRule>
  </conditionalFormatting>
  <conditionalFormatting sqref="D136:D150">
    <cfRule type="expression" dxfId="1034" priority="122">
      <formula>$AD136=1</formula>
    </cfRule>
    <cfRule type="expression" dxfId="1033" priority="120">
      <formula>OR($AD136="X",$AC136="X")</formula>
    </cfRule>
    <cfRule type="expression" dxfId="1032" priority="121">
      <formula>AND($AD136=1,$AC136=1)</formula>
    </cfRule>
  </conditionalFormatting>
  <conditionalFormatting sqref="D151:D155 E124:E126 D40:D116">
    <cfRule type="expression" dxfId="1031" priority="181">
      <formula>AND($R40="X",OR($B40&lt;&gt;"",$C40&lt;&gt;""))</formula>
    </cfRule>
  </conditionalFormatting>
  <conditionalFormatting sqref="D156">
    <cfRule type="expression" dxfId="1030" priority="216">
      <formula>AND($R156="X",OR($B156&lt;&gt;"",#REF!&lt;&gt;""))</formula>
    </cfRule>
  </conditionalFormatting>
  <conditionalFormatting sqref="D160">
    <cfRule type="expression" dxfId="1029" priority="158">
      <formula>AND($AD160=1,$AC160=1)</formula>
    </cfRule>
    <cfRule type="expression" dxfId="1028" priority="159">
      <formula>$AD160=1</formula>
    </cfRule>
    <cfRule type="expression" dxfId="1027" priority="160">
      <formula>AND($R160="X",OR($B160&lt;&gt;"",$C160&lt;&gt;"",$D160&lt;&gt;""))</formula>
    </cfRule>
    <cfRule type="expression" dxfId="1026" priority="152">
      <formula>AND($R160="X",OR($B160&lt;&gt;"",$C160&lt;&gt;"",$D160&lt;&gt;"",$E160&lt;&gt;""))</formula>
    </cfRule>
    <cfRule type="expression" dxfId="1025" priority="151">
      <formula>$AC160=1</formula>
    </cfRule>
    <cfRule type="expression" dxfId="1024" priority="153">
      <formula>AND($AD160=1,$AC160=1)</formula>
    </cfRule>
    <cfRule type="expression" dxfId="1023" priority="154">
      <formula>$AD160=1</formula>
    </cfRule>
    <cfRule type="expression" dxfId="1022" priority="155">
      <formula>AND($R160="X",OR($B160&lt;&gt;"",$C160&lt;&gt;"",$D160&lt;&gt;""))</formula>
    </cfRule>
    <cfRule type="expression" dxfId="1021" priority="156">
      <formula>$AC160=1</formula>
    </cfRule>
    <cfRule type="expression" dxfId="1020" priority="42">
      <formula>AND($R160="X",OR($B160&lt;&gt;"",$C160&lt;&gt;""))</formula>
    </cfRule>
    <cfRule type="expression" dxfId="1019" priority="157">
      <formula>AND($R160="X",OR($B160&lt;&gt;"",$C160&lt;&gt;"",$D160&lt;&gt;"",$E160&lt;&gt;""))</formula>
    </cfRule>
  </conditionalFormatting>
  <conditionalFormatting sqref="D162">
    <cfRule type="expression" dxfId="1018" priority="54">
      <formula>AND($R162="X",OR($B162&lt;&gt;"",$C162&lt;&gt;""))</formula>
    </cfRule>
    <cfRule type="expression" dxfId="1017" priority="49">
      <formula>$AD162=1</formula>
    </cfRule>
    <cfRule type="expression" dxfId="1016" priority="48">
      <formula>AND($AD162=1,$AC162=1)</formula>
    </cfRule>
    <cfRule type="expression" dxfId="1015" priority="46">
      <formula>AND($R162="X",$B162&lt;&gt;"")</formula>
    </cfRule>
    <cfRule type="expression" dxfId="1014" priority="30">
      <formula>AND($R162="X",OR($B162&lt;&gt;"",$C162&lt;&gt;""))</formula>
    </cfRule>
    <cfRule type="expression" dxfId="1013" priority="32">
      <formula>AND($R162="X",OR($B162&lt;&gt;"",$C162&lt;&gt;"",$D162&lt;&gt;"",$E162&lt;&gt;""))</formula>
    </cfRule>
    <cfRule type="expression" dxfId="1012" priority="33">
      <formula>AND($AD162=1,$AC162=1)</formula>
    </cfRule>
    <cfRule type="expression" dxfId="1011" priority="34">
      <formula>$AD162=1</formula>
    </cfRule>
    <cfRule type="expression" dxfId="1010" priority="35">
      <formula>AND($R162="X",OR($B162&lt;&gt;"",$C162&lt;&gt;"",$D162&lt;&gt;""))</formula>
    </cfRule>
    <cfRule type="expression" dxfId="1009" priority="31">
      <formula>$AC162=1</formula>
    </cfRule>
    <cfRule type="expression" dxfId="1008" priority="36">
      <formula>$AC162=1</formula>
    </cfRule>
    <cfRule type="expression" dxfId="1007" priority="37">
      <formula>AND($R162="X",OR($B162&lt;&gt;"",$C162&lt;&gt;"",$D162&lt;&gt;"",$E162&lt;&gt;""))</formula>
    </cfRule>
    <cfRule type="expression" dxfId="1006" priority="38">
      <formula>AND($AD162=1,$AC162=1)</formula>
    </cfRule>
    <cfRule type="expression" dxfId="1005" priority="39">
      <formula>$AD162=1</formula>
    </cfRule>
    <cfRule type="expression" dxfId="1004" priority="40">
      <formula>AND($R162="X",OR($B162&lt;&gt;"",$C162&lt;&gt;"",$D162&lt;&gt;""))</formula>
    </cfRule>
    <cfRule type="expression" dxfId="1003" priority="41">
      <formula>AND($R162="X",OR($B162&lt;&gt;"",$C162&lt;&gt;""))</formula>
    </cfRule>
    <cfRule type="expression" dxfId="1002" priority="43">
      <formula>OR($AD162="X",$AC162="X")</formula>
    </cfRule>
  </conditionalFormatting>
  <conditionalFormatting sqref="D162:D168">
    <cfRule type="expression" dxfId="1001" priority="47">
      <formula>OR($AD162="X",$AC162="X")</formula>
    </cfRule>
  </conditionalFormatting>
  <conditionalFormatting sqref="D163:D164">
    <cfRule type="expression" dxfId="1000" priority="179">
      <formula>AND($R163="X",#REF!&lt;&gt;"")</formula>
    </cfRule>
    <cfRule type="expression" dxfId="999" priority="178">
      <formula>$AC163=1</formula>
    </cfRule>
    <cfRule type="expression" dxfId="998" priority="177">
      <formula>$AD163=1</formula>
    </cfRule>
    <cfRule type="expression" dxfId="997" priority="176">
      <formula>AND($AD163=1,$AC163=1)</formula>
    </cfRule>
  </conditionalFormatting>
  <conditionalFormatting sqref="D163:D168">
    <cfRule type="expression" dxfId="996" priority="229">
      <formula>AND($R163="X",OR(#REF!&lt;&gt;"",$B163&lt;&gt;"",$C163&lt;&gt;""))</formula>
    </cfRule>
  </conditionalFormatting>
  <conditionalFormatting sqref="D170">
    <cfRule type="expression" dxfId="995" priority="171">
      <formula>AND($AD170=1,$AC170=1)</formula>
    </cfRule>
    <cfRule type="expression" dxfId="994" priority="170">
      <formula>OR($AD170="X",$AC170="X")</formula>
    </cfRule>
    <cfRule type="expression" dxfId="993" priority="169">
      <formula>AND($R170="X",$B170&lt;&gt;"")</formula>
    </cfRule>
    <cfRule type="expression" dxfId="992" priority="172">
      <formula>$AD170=1</formula>
    </cfRule>
  </conditionalFormatting>
  <conditionalFormatting sqref="D171:D179">
    <cfRule type="expression" dxfId="991" priority="222">
      <formula>AND($R171="X",OR($B171&lt;&gt;"",#REF!&lt;&gt;"",$C171&lt;&gt;""))</formula>
    </cfRule>
  </conditionalFormatting>
  <conditionalFormatting sqref="D123:E123">
    <cfRule type="expression" dxfId="990" priority="78">
      <formula>AND($R123="X",OR($B123&lt;&gt;"",$C123&lt;&gt;"",$D123&lt;&gt;"",$E123&lt;&gt;""))</formula>
    </cfRule>
    <cfRule type="expression" dxfId="989" priority="79">
      <formula>AND($R123="X",OR($B123&lt;&gt;"",$C123&lt;&gt;"",$E123&lt;&gt;"",#REF!&lt;&gt;""))</formula>
    </cfRule>
    <cfRule type="expression" dxfId="988" priority="80">
      <formula>$AC123=1</formula>
    </cfRule>
    <cfRule type="expression" dxfId="987" priority="81">
      <formula>AND($R123="X",OR($B123&lt;&gt;"",$C123&lt;&gt;"",$D123&lt;&gt;""))</formula>
    </cfRule>
    <cfRule type="expression" dxfId="986" priority="82">
      <formula>AND($AD123=1,$AC123=1)</formula>
    </cfRule>
    <cfRule type="expression" dxfId="985" priority="83">
      <formula>$AD123=1</formula>
    </cfRule>
  </conditionalFormatting>
  <conditionalFormatting sqref="D37:G37">
    <cfRule type="expression" dxfId="984" priority="7">
      <formula>$AD37=1</formula>
    </cfRule>
    <cfRule type="expression" dxfId="983" priority="8">
      <formula>OR($AD37="X",$AC37="X")</formula>
    </cfRule>
    <cfRule type="expression" dxfId="982" priority="6">
      <formula>AND($AD37=1,$AC37=1)</formula>
    </cfRule>
    <cfRule type="expression" dxfId="981" priority="5">
      <formula>AND($R37="X",OR($B37&lt;&gt;"",$C37&lt;&gt;"",$D37&lt;&gt;"",$E37&lt;&gt;"",$F37&lt;&gt;""))</formula>
    </cfRule>
  </conditionalFormatting>
  <conditionalFormatting sqref="D121:G121">
    <cfRule type="expression" dxfId="980" priority="93">
      <formula>AND($R121="X",$B121&lt;&gt;"")</formula>
    </cfRule>
  </conditionalFormatting>
  <conditionalFormatting sqref="D123:G123">
    <cfRule type="expression" dxfId="979" priority="92">
      <formula>AND($R123="X",$B123&lt;&gt;"")</formula>
    </cfRule>
  </conditionalFormatting>
  <conditionalFormatting sqref="D162:G162">
    <cfRule type="expression" dxfId="978" priority="45">
      <formula>AND($R162="X",OR($B162&lt;&gt;"",$C162&lt;&gt;""))</formula>
    </cfRule>
  </conditionalFormatting>
  <conditionalFormatting sqref="D163:G163">
    <cfRule type="expression" dxfId="977" priority="23">
      <formula>AND($R163="X",OR($B163&lt;&gt;"",$C163&lt;&gt;"",$D163&lt;&gt;"",$E163&lt;&gt;"",$F163&lt;&gt;""))</formula>
    </cfRule>
  </conditionalFormatting>
  <conditionalFormatting sqref="E9:E36">
    <cfRule type="expression" dxfId="976" priority="20">
      <formula>AND($R9="X",OR($B9&lt;&gt;"",$C9&lt;&gt;"",$D9&lt;&gt;""))</formula>
    </cfRule>
  </conditionalFormatting>
  <conditionalFormatting sqref="E38:E39">
    <cfRule type="expression" dxfId="975" priority="9">
      <formula>OR($AD38="X",$AC38="X")</formula>
    </cfRule>
    <cfRule type="expression" dxfId="974" priority="10">
      <formula>AND($AD38=1,$AC38=1)</formula>
    </cfRule>
    <cfRule type="expression" dxfId="973" priority="11">
      <formula>$AD38=1</formula>
    </cfRule>
    <cfRule type="expression" dxfId="972" priority="12">
      <formula>$AC38=1</formula>
    </cfRule>
    <cfRule type="expression" dxfId="971" priority="13">
      <formula>AND(NOT(ISBLANK($W38)),ISBLANK($AC38),ISBLANK($AD38))</formula>
    </cfRule>
    <cfRule type="expression" dxfId="970" priority="14">
      <formula>AND($R38="X",OR($B38&lt;&gt;"",#REF!&lt;&gt;"",$D38&lt;&gt;"",#REF!&lt;&gt;""))</formula>
    </cfRule>
  </conditionalFormatting>
  <conditionalFormatting sqref="E85">
    <cfRule type="expression" dxfId="969" priority="139">
      <formula>AND($R85="X",OR($B85&lt;&gt;"",$C85&lt;&gt;"",$D85&lt;&gt;"",$E85&lt;&gt;""))</formula>
    </cfRule>
    <cfRule type="expression" dxfId="968" priority="140">
      <formula>AND($AD85=1,$AC85=1)</formula>
    </cfRule>
    <cfRule type="expression" dxfId="967" priority="141">
      <formula>$AD85=1</formula>
    </cfRule>
    <cfRule type="expression" dxfId="966" priority="142">
      <formula>AND($R85="X",OR($B85&lt;&gt;"",$C85&lt;&gt;"",$E85&lt;&gt;"",#REF!&lt;&gt;""))</formula>
    </cfRule>
  </conditionalFormatting>
  <conditionalFormatting sqref="E88">
    <cfRule type="expression" dxfId="965" priority="133">
      <formula>AND($R88="X",OR($B88&lt;&gt;"",$C88&lt;&gt;"",$D88&lt;&gt;"",$E88&lt;&gt;""))</formula>
    </cfRule>
    <cfRule type="expression" dxfId="964" priority="134">
      <formula>AND($AD88=1,$AC88=1)</formula>
    </cfRule>
    <cfRule type="expression" dxfId="963" priority="135">
      <formula>$AD88=1</formula>
    </cfRule>
    <cfRule type="expression" dxfId="962" priority="136">
      <formula>$AC88=1</formula>
    </cfRule>
    <cfRule type="expression" dxfId="961" priority="137">
      <formula>AND($R88="X",OR($B88&lt;&gt;"",$C88&lt;&gt;"",$E88&lt;&gt;"",#REF!&lt;&gt;""))</formula>
    </cfRule>
    <cfRule type="expression" dxfId="960" priority="138">
      <formula>$AC88=1</formula>
    </cfRule>
  </conditionalFormatting>
  <conditionalFormatting sqref="E107">
    <cfRule type="expression" dxfId="959" priority="143">
      <formula>AND($R107="X",OR($B107&lt;&gt;"",$C107&lt;&gt;"",$D107&lt;&gt;"",$E107&lt;&gt;""))</formula>
    </cfRule>
    <cfRule type="expression" dxfId="958" priority="144">
      <formula>AND($AD107=1,$AC107=1)</formula>
    </cfRule>
    <cfRule type="expression" dxfId="957" priority="145">
      <formula>$AD107=1</formula>
    </cfRule>
    <cfRule type="expression" dxfId="956" priority="146">
      <formula>$AC107=1</formula>
    </cfRule>
    <cfRule type="expression" dxfId="955" priority="147">
      <formula>AND($R107="X",OR($B107&lt;&gt;"",$C107&lt;&gt;"",$E107&lt;&gt;"",#REF!&lt;&gt;""))</formula>
    </cfRule>
  </conditionalFormatting>
  <conditionalFormatting sqref="E118 E151:E155 E157:E160 E169 E180:E187">
    <cfRule type="expression" dxfId="954" priority="104">
      <formula>AND($R118="X",OR($B118&lt;&gt;"",$C118&lt;&gt;"",$D118&lt;&gt;""))</formula>
    </cfRule>
  </conditionalFormatting>
  <conditionalFormatting sqref="E118:E120">
    <cfRule type="expression" dxfId="953" priority="196">
      <formula>AND($R118="X",OR(#REF!&lt;&gt;"",$B118&lt;&gt;"",$C118&lt;&gt;""))</formula>
    </cfRule>
  </conditionalFormatting>
  <conditionalFormatting sqref="E121:E124">
    <cfRule type="expression" dxfId="952" priority="202">
      <formula>AND($R121="X",OR($B121&lt;&gt;"",$C121&lt;&gt;"",$D121&lt;&gt;""))</formula>
    </cfRule>
  </conditionalFormatting>
  <conditionalFormatting sqref="E122">
    <cfRule type="expression" dxfId="951" priority="84">
      <formula>AND($R122="X",OR($B122&lt;&gt;"",$C122&lt;&gt;"",$D122&lt;&gt;"",$E122&lt;&gt;""))</formula>
    </cfRule>
    <cfRule type="expression" dxfId="950" priority="86">
      <formula>$AC122=1</formula>
    </cfRule>
    <cfRule type="expression" dxfId="949" priority="87">
      <formula>AND($R122="X",OR($B122&lt;&gt;"",$C122&lt;&gt;"",$D122&lt;&gt;""))</formula>
    </cfRule>
    <cfRule type="expression" dxfId="948" priority="85">
      <formula>AND($R122="X",OR($B122&lt;&gt;"",$C122&lt;&gt;"",$E122&lt;&gt;"",#REF!&lt;&gt;""))</formula>
    </cfRule>
  </conditionalFormatting>
  <conditionalFormatting sqref="E127">
    <cfRule type="expression" dxfId="947" priority="148">
      <formula>AND($R127="X",OR($B127&lt;&gt;"",$C127&lt;&gt;"",$D127&lt;&gt;"",$E127&lt;&gt;""))</formula>
    </cfRule>
    <cfRule type="expression" dxfId="946" priority="149">
      <formula>AND($R127="X",OR($B127&lt;&gt;"",$C127&lt;&gt;"",$E127&lt;&gt;"",#REF!&lt;&gt;""))</formula>
    </cfRule>
    <cfRule type="expression" dxfId="945" priority="150">
      <formula>$AC127=1</formula>
    </cfRule>
  </conditionalFormatting>
  <conditionalFormatting sqref="E127:E128 E40:E116 F129:F130 E131:E134">
    <cfRule type="expression" dxfId="944" priority="184">
      <formula>AND($R40="X",OR($B40&lt;&gt;"",$C40&lt;&gt;"",$D40&lt;&gt;""))</formula>
    </cfRule>
  </conditionalFormatting>
  <conditionalFormatting sqref="E129:E130">
    <cfRule type="expression" dxfId="943" priority="97">
      <formula>AND($AD129=1,$AC129=1)</formula>
    </cfRule>
    <cfRule type="expression" dxfId="942" priority="98">
      <formula>$AD129=1</formula>
    </cfRule>
    <cfRule type="expression" dxfId="941" priority="96">
      <formula>AND($R129="X",$B129&lt;&gt;"")</formula>
    </cfRule>
    <cfRule type="expression" dxfId="940" priority="100">
      <formula>$AC129=1</formula>
    </cfRule>
    <cfRule type="expression" dxfId="939" priority="101">
      <formula>AND(NOT(ISBLANK($W129)),ISBLANK($AC129),ISBLANK($AD129))</formula>
    </cfRule>
    <cfRule type="expression" dxfId="938" priority="99">
      <formula>OR($AD129="X",$AC129="X")</formula>
    </cfRule>
  </conditionalFormatting>
  <conditionalFormatting sqref="E136:E150">
    <cfRule type="expression" dxfId="937" priority="125">
      <formula>AND($R136="X",OR($B136&lt;&gt;"",$C136&lt;&gt;"",$D136&lt;&gt;""))</formula>
    </cfRule>
  </conditionalFormatting>
  <conditionalFormatting sqref="E156">
    <cfRule type="expression" dxfId="936" priority="217">
      <formula>AND($R156="X",OR($B156&lt;&gt;"",#REF!&lt;&gt;"",$D156&lt;&gt;""))</formula>
    </cfRule>
  </conditionalFormatting>
  <conditionalFormatting sqref="E159">
    <cfRule type="expression" dxfId="935" priority="163">
      <formula>AND($AD159=1,$AC159=1)</formula>
    </cfRule>
    <cfRule type="expression" dxfId="934" priority="162">
      <formula>AND($R159="X",OR($B159&lt;&gt;"",$C159&lt;&gt;"",$D159&lt;&gt;"",$E159&lt;&gt;""))</formula>
    </cfRule>
    <cfRule type="expression" dxfId="933" priority="161">
      <formula>$AC159=1</formula>
    </cfRule>
    <cfRule type="expression" dxfId="932" priority="164">
      <formula>$AD159=1</formula>
    </cfRule>
  </conditionalFormatting>
  <conditionalFormatting sqref="E162">
    <cfRule type="expression" dxfId="931" priority="44">
      <formula>AND($R162="X",OR($B162&lt;&gt;"",$C162&lt;&gt;"",$D162&lt;&gt;""))</formula>
    </cfRule>
  </conditionalFormatting>
  <conditionalFormatting sqref="E164:E168">
    <cfRule type="expression" dxfId="930" priority="26">
      <formula>$AD164=1</formula>
    </cfRule>
    <cfRule type="expression" dxfId="929" priority="24">
      <formula>OR($AD164="X",$AC164="X")</formula>
    </cfRule>
    <cfRule type="expression" dxfId="928" priority="25">
      <formula>AND($AD164=1,$AC164=1)</formula>
    </cfRule>
    <cfRule type="expression" dxfId="927" priority="28">
      <formula>AND(NOT(ISBLANK($W164)),ISBLANK($AC164),ISBLANK($AD164))</formula>
    </cfRule>
    <cfRule type="expression" dxfId="926" priority="27">
      <formula>$AC164=1</formula>
    </cfRule>
    <cfRule type="expression" dxfId="925" priority="29">
      <formula>AND($R164="X",OR(#REF!&lt;&gt;"",$B164&lt;&gt;"",$C164&lt;&gt;"",$D164&lt;&gt;""))</formula>
    </cfRule>
  </conditionalFormatting>
  <conditionalFormatting sqref="E171:E179">
    <cfRule type="expression" dxfId="924" priority="94">
      <formula>AND($R171="X",OR($B171&lt;&gt;"",#REF!&lt;&gt;"",$C171&lt;&gt;"",$D171&lt;&gt;""))</formula>
    </cfRule>
  </conditionalFormatting>
  <conditionalFormatting sqref="E162:F162">
    <cfRule type="expression" dxfId="923" priority="55">
      <formula>AND($R162="X",OR($B162&lt;&gt;"",$C162&lt;&gt;"",$D162&lt;&gt;"",#REF!&lt;&gt;""))</formula>
    </cfRule>
  </conditionalFormatting>
  <conditionalFormatting sqref="E170:F170">
    <cfRule type="expression" dxfId="922" priority="225">
      <formula>AND($R170="X",OR($B170&lt;&gt;"",$C170&lt;&gt;"",$D170&lt;&gt;"",#REF!&lt;&gt;""))</formula>
    </cfRule>
  </conditionalFormatting>
  <conditionalFormatting sqref="E122:G122">
    <cfRule type="expression" dxfId="921" priority="91">
      <formula>$AD122=1</formula>
    </cfRule>
    <cfRule type="expression" dxfId="920" priority="90">
      <formula>AND($AD122=1,$AC122=1)</formula>
    </cfRule>
  </conditionalFormatting>
  <conditionalFormatting sqref="E124:G124">
    <cfRule type="expression" dxfId="919" priority="68">
      <formula>AND($R124="X",$B124&lt;&gt;"")</formula>
    </cfRule>
    <cfRule type="expression" dxfId="918" priority="69">
      <formula>AND($R124="X",OR($B124&lt;&gt;"",$C124&lt;&gt;""))</formula>
    </cfRule>
    <cfRule type="expression" dxfId="917" priority="67">
      <formula>$AD124=1</formula>
    </cfRule>
    <cfRule type="expression" dxfId="916" priority="66">
      <formula>AND($AD124=1,$AC124=1)</formula>
    </cfRule>
    <cfRule type="expression" dxfId="915" priority="65">
      <formula>AND($R124="X",OR($B124&lt;&gt;"",$C124&lt;&gt;"",$D124&lt;&gt;""))</formula>
    </cfRule>
    <cfRule type="expression" dxfId="914" priority="64">
      <formula>$AC124=1</formula>
    </cfRule>
    <cfRule type="expression" dxfId="913" priority="63">
      <formula>AND($R124="X",OR($B124&lt;&gt;"",$C124&lt;&gt;"",$E124&lt;&gt;"",#REF!&lt;&gt;""))</formula>
    </cfRule>
    <cfRule type="expression" dxfId="912" priority="62">
      <formula>AND($R124="X",OR($B124&lt;&gt;"",$C124&lt;&gt;"",$D124&lt;&gt;"",$E124&lt;&gt;""))</formula>
    </cfRule>
  </conditionalFormatting>
  <conditionalFormatting sqref="E136:G136 B136:C150">
    <cfRule type="expression" dxfId="911" priority="129">
      <formula>$AC136=1</formula>
    </cfRule>
    <cfRule type="expression" dxfId="910" priority="127">
      <formula>AND($AD136=1,$AC136=1)</formula>
    </cfRule>
    <cfRule type="expression" dxfId="909" priority="128">
      <formula>$AD136=1</formula>
    </cfRule>
  </conditionalFormatting>
  <conditionalFormatting sqref="F1:F2">
    <cfRule type="dataBar" priority="205">
      <dataBar>
        <cfvo type="num" val="0"/>
        <cfvo type="num" val="1"/>
        <color rgb="FF63C384"/>
      </dataBar>
      <extLst>
        <ext xmlns:x14="http://schemas.microsoft.com/office/spreadsheetml/2009/9/main" uri="{B025F937-C7B1-47D3-B67F-A62EFF666E3E}">
          <x14:id>{4388D4AB-144D-C341-A3AA-A3E14FA125B5}</x14:id>
        </ext>
      </extLst>
    </cfRule>
  </conditionalFormatting>
  <conditionalFormatting sqref="F9:F36 E179 G179">
    <cfRule type="expression" dxfId="908" priority="21">
      <formula>AND($R9="X",OR($B9&lt;&gt;"",$C9&lt;&gt;"",$D9&lt;&gt;"",$E9&lt;&gt;""))</formula>
    </cfRule>
  </conditionalFormatting>
  <conditionalFormatting sqref="F38:F39">
    <cfRule type="expression" dxfId="907" priority="242">
      <formula>AND($R38="X",OR($B38&lt;&gt;"",#REF!&lt;&gt;"",$D38&lt;&gt;"",#REF!&lt;&gt;""))</formula>
    </cfRule>
  </conditionalFormatting>
  <conditionalFormatting sqref="F118 F157:F160 F169 F180:F187">
    <cfRule type="expression" dxfId="906" priority="105">
      <formula>AND($R118="X",OR($B118&lt;&gt;"",$C118&lt;&gt;"",$D118&lt;&gt;"",$E118&lt;&gt;""))</formula>
    </cfRule>
  </conditionalFormatting>
  <conditionalFormatting sqref="F118:F120">
    <cfRule type="expression" dxfId="905" priority="197">
      <formula>AND($R118="X",OR(#REF!&lt;&gt;"",$B118&lt;&gt;"",$C118&lt;&gt;"",$E118&lt;&gt;""))</formula>
    </cfRule>
  </conditionalFormatting>
  <conditionalFormatting sqref="F121:F124">
    <cfRule type="expression" dxfId="904" priority="203">
      <formula>AND($R121="X",OR($B121&lt;&gt;"",$C121&lt;&gt;"",$D121&lt;&gt;"",$E121&lt;&gt;""))</formula>
    </cfRule>
  </conditionalFormatting>
  <conditionalFormatting sqref="F122">
    <cfRule type="expression" dxfId="903" priority="88">
      <formula>AND($R122="X",OR($B122&lt;&gt;"",$C122&lt;&gt;"",$D122&lt;&gt;"",$E122&lt;&gt;""))</formula>
    </cfRule>
  </conditionalFormatting>
  <conditionalFormatting sqref="F124:F126 F135:G135">
    <cfRule type="expression" dxfId="902" priority="199">
      <formula>AND($R124="X",OR($B124&lt;&gt;"",$C124&lt;&gt;"",$E124&lt;&gt;"",#REF!&lt;&gt;""))</formula>
    </cfRule>
  </conditionalFormatting>
  <conditionalFormatting sqref="F127:F155 F40:F116">
    <cfRule type="expression" dxfId="901" priority="185">
      <formula>AND($R40="X",OR($B40&lt;&gt;"",$C40&lt;&gt;"",$D40&lt;&gt;"",$E40&lt;&gt;""))</formula>
    </cfRule>
  </conditionalFormatting>
  <conditionalFormatting sqref="F134">
    <cfRule type="expression" dxfId="900" priority="132">
      <formula>AND($R134="X",OR($B134&lt;&gt;"",$C134&lt;&gt;"",$E134&lt;&gt;"",#REF!&lt;&gt;""))</formula>
    </cfRule>
  </conditionalFormatting>
  <conditionalFormatting sqref="F156">
    <cfRule type="expression" dxfId="899" priority="218">
      <formula>AND($R156="X",OR($B156&lt;&gt;"",#REF!&lt;&gt;"",$D156&lt;&gt;"",$E156&lt;&gt;""))</formula>
    </cfRule>
  </conditionalFormatting>
  <conditionalFormatting sqref="F164:F168">
    <cfRule type="expression" dxfId="898" priority="230">
      <formula>AND($R164="X",OR(#REF!&lt;&gt;"",$B164&lt;&gt;"",$C164&lt;&gt;"",$D164&lt;&gt;""))</formula>
    </cfRule>
  </conditionalFormatting>
  <conditionalFormatting sqref="F171:F179">
    <cfRule type="expression" dxfId="897" priority="95">
      <formula>AND($R171="X",OR($B171&lt;&gt;"",#REF!&lt;&gt;"",$C171&lt;&gt;"",$D171&lt;&gt;"",$F171&lt;&gt;""))</formula>
    </cfRule>
    <cfRule type="expression" dxfId="896" priority="223">
      <formula>AND($R171="X",OR($B171&lt;&gt;"",#REF!&lt;&gt;"",$C171&lt;&gt;"",$D171&lt;&gt;""))</formula>
    </cfRule>
  </conditionalFormatting>
  <conditionalFormatting sqref="F179">
    <cfRule type="expression" dxfId="895" priority="22">
      <formula>AND($R179="X",OR($B179&lt;&gt;"",$C179&lt;&gt;"",$D179&lt;&gt;"",$E179&lt;&gt;"",$F179&lt;&gt;""))</formula>
    </cfRule>
  </conditionalFormatting>
  <conditionalFormatting sqref="F123:G123">
    <cfRule type="expression" dxfId="894" priority="74">
      <formula>AND($R123="X",OR($B123&lt;&gt;"",$C123&lt;&gt;"",$D123&lt;&gt;""))</formula>
    </cfRule>
    <cfRule type="expression" dxfId="893" priority="76">
      <formula>$AD123=1</formula>
    </cfRule>
    <cfRule type="expression" dxfId="892" priority="75">
      <formula>AND($AD123=1,$AC123=1)</formula>
    </cfRule>
    <cfRule type="expression" dxfId="891" priority="73">
      <formula>$AC123=1</formula>
    </cfRule>
    <cfRule type="expression" dxfId="890" priority="72">
      <formula>AND($R123="X",OR($B123&lt;&gt;"",$C123&lt;&gt;"",$E123&lt;&gt;"",#REF!&lt;&gt;""))</formula>
    </cfRule>
    <cfRule type="expression" dxfId="889" priority="71">
      <formula>AND($R123="X",OR($B123&lt;&gt;"",$C123&lt;&gt;"",$D123&lt;&gt;"",$E123&lt;&gt;""))</formula>
    </cfRule>
    <cfRule type="expression" dxfId="888" priority="77">
      <formula>AND($R123="X",OR($B123&lt;&gt;"",$C123&lt;&gt;"",$D123&lt;&gt;""))</formula>
    </cfRule>
  </conditionalFormatting>
  <conditionalFormatting sqref="F124:G124">
    <cfRule type="expression" dxfId="887" priority="61">
      <formula>AND($R124="X",OR($B124&lt;&gt;"",$C124&lt;&gt;"",$D124&lt;&gt;""))</formula>
    </cfRule>
    <cfRule type="expression" dxfId="886" priority="60">
      <formula>AND($R124="X",OR($B124&lt;&gt;"",$C124&lt;&gt;""))</formula>
    </cfRule>
  </conditionalFormatting>
  <conditionalFormatting sqref="F162:G162">
    <cfRule type="expression" dxfId="885" priority="56">
      <formula>AND($R162="X",OR($B162&lt;&gt;"",$C162&lt;&gt;"",$D162&lt;&gt;"",#REF!&lt;&gt;"",$F162&lt;&gt;""))</formula>
    </cfRule>
  </conditionalFormatting>
  <conditionalFormatting sqref="F170:G170">
    <cfRule type="expression" dxfId="884" priority="226">
      <formula>AND($R170="X",OR($B170&lt;&gt;"",$C170&lt;&gt;"",$D170&lt;&gt;"",#REF!&lt;&gt;"",$F170&lt;&gt;""))</formula>
    </cfRule>
  </conditionalFormatting>
  <conditionalFormatting sqref="G9:G36 F123 G157:G160 G169">
    <cfRule type="expression" dxfId="883" priority="70">
      <formula>AND($R9="X",OR($B9&lt;&gt;"",$C9&lt;&gt;"",$D9&lt;&gt;"",$E9&lt;&gt;"",$F9&lt;&gt;""))</formula>
    </cfRule>
  </conditionalFormatting>
  <conditionalFormatting sqref="G38:G39">
    <cfRule type="expression" dxfId="882" priority="243">
      <formula>AND($R38="X",OR($B38&lt;&gt;"",#REF!&lt;&gt;"",$D38&lt;&gt;"",#REF!&lt;&gt;"",$F38&lt;&gt;""))</formula>
    </cfRule>
  </conditionalFormatting>
  <conditionalFormatting sqref="G118">
    <cfRule type="expression" dxfId="881" priority="106">
      <formula>AND($R118="X",OR($B118&lt;&gt;"",$C118&lt;&gt;"",$D118&lt;&gt;"",$E118&lt;&gt;"",$F118&lt;&gt;""))</formula>
    </cfRule>
  </conditionalFormatting>
  <conditionalFormatting sqref="G118:G120">
    <cfRule type="expression" dxfId="880" priority="198">
      <formula>AND($R118="X",OR(#REF!&lt;&gt;"",$B118&lt;&gt;"",$C118&lt;&gt;"",$E118&lt;&gt;"",$F118&lt;&gt;""))</formula>
    </cfRule>
  </conditionalFormatting>
  <conditionalFormatting sqref="G121:G124">
    <cfRule type="expression" dxfId="879" priority="204">
      <formula>AND($R121="X",OR($B121&lt;&gt;"",$C121&lt;&gt;"",$D121&lt;&gt;"",$E121&lt;&gt;"",$F121&lt;&gt;""))</formula>
    </cfRule>
  </conditionalFormatting>
  <conditionalFormatting sqref="G122">
    <cfRule type="expression" dxfId="878" priority="89">
      <formula>AND($R122="X",OR($B122&lt;&gt;"",$C122&lt;&gt;"",$D122&lt;&gt;"",$E122&lt;&gt;"",$F122&lt;&gt;""))</formula>
    </cfRule>
  </conditionalFormatting>
  <conditionalFormatting sqref="G124">
    <cfRule type="expression" dxfId="877" priority="58">
      <formula>AND($R124="X",OR($B124&lt;&gt;"",$C124&lt;&gt;"",$E124&lt;&gt;"",#REF!&lt;&gt;""))</formula>
    </cfRule>
    <cfRule type="expression" dxfId="876" priority="59">
      <formula>AND($R124="X",OR($B124&lt;&gt;"",$C124&lt;&gt;"",$D124&lt;&gt;"",$E124&lt;&gt;""))</formula>
    </cfRule>
  </conditionalFormatting>
  <conditionalFormatting sqref="G124:G126">
    <cfRule type="expression" dxfId="875" priority="200">
      <formula>AND($R124="X",OR($B124&lt;&gt;"",$C124&lt;&gt;"",$E124&lt;&gt;"",#REF!&lt;&gt;"",$F124&lt;&gt;""))</formula>
    </cfRule>
  </conditionalFormatting>
  <conditionalFormatting sqref="G135">
    <cfRule type="expression" dxfId="874" priority="168">
      <formula>AND($R135="X",OR($B135&lt;&gt;"",$C135&lt;&gt;"",$D135&lt;&gt;"",$E135&lt;&gt;""))</formula>
    </cfRule>
    <cfRule type="expression" dxfId="873" priority="220">
      <formula>AND($R135="X",OR($B135&lt;&gt;"",$C135&lt;&gt;"",$E135&lt;&gt;"",#REF!&lt;&gt;"",$F135&lt;&gt;""))</formula>
    </cfRule>
  </conditionalFormatting>
  <conditionalFormatting sqref="G136:G155">
    <cfRule type="expression" dxfId="872" priority="126">
      <formula>AND($R136="X",OR($B136&lt;&gt;"",$C136&lt;&gt;"",$D136&lt;&gt;"",$E136&lt;&gt;"",$F136&lt;&gt;""))</formula>
    </cfRule>
  </conditionalFormatting>
  <conditionalFormatting sqref="G156">
    <cfRule type="expression" dxfId="871" priority="219">
      <formula>AND($R156="X",OR($B156&lt;&gt;"",#REF!&lt;&gt;"",$D156&lt;&gt;"",$E156&lt;&gt;"",$F156&lt;&gt;""))</formula>
    </cfRule>
  </conditionalFormatting>
  <conditionalFormatting sqref="G164:G168">
    <cfRule type="expression" dxfId="870" priority="231">
      <formula>AND($R164="X",OR(#REF!&lt;&gt;"",$B164&lt;&gt;"",$C164&lt;&gt;"",$D164&lt;&gt;"",$F164&lt;&gt;""))</formula>
    </cfRule>
  </conditionalFormatting>
  <conditionalFormatting sqref="G171:G179">
    <cfRule type="expression" dxfId="869" priority="224">
      <formula>AND($R171="X",OR($B171&lt;&gt;"",#REF!&lt;&gt;"",$C171&lt;&gt;"",$D171&lt;&gt;"",$F171&lt;&gt;""))</formula>
    </cfRule>
  </conditionalFormatting>
  <conditionalFormatting sqref="G180:G187 G40:G116 G127:G134">
    <cfRule type="expression" dxfId="868" priority="186">
      <formula>AND($R40="X",OR($B40&lt;&gt;"",$C40&lt;&gt;"",$D40&lt;&gt;"",$E40&lt;&gt;"",$F40&lt;&gt;""))</formula>
    </cfRule>
  </conditionalFormatting>
  <conditionalFormatting sqref="H189:H190 H210:H1050">
    <cfRule type="expression" dxfId="867" priority="206">
      <formula>$Q189="X"</formula>
    </cfRule>
  </conditionalFormatting>
  <conditionalFormatting sqref="I10:I25 I27:I187">
    <cfRule type="expression" dxfId="866" priority="182">
      <formula>$R10="X"</formula>
    </cfRule>
  </conditionalFormatting>
  <conditionalFormatting sqref="Q9:Q187">
    <cfRule type="cellIs" dxfId="865" priority="118" operator="equal">
      <formula>"0..1"</formula>
    </cfRule>
    <cfRule type="cellIs" dxfId="864" priority="117" operator="equal">
      <formula>"0..n"</formula>
    </cfRule>
    <cfRule type="cellIs" dxfId="863" priority="116" operator="equal">
      <formula>"1..1"</formula>
    </cfRule>
  </conditionalFormatting>
  <hyperlinks>
    <hyperlink ref="I113" r:id="rId1" xr:uid="{15AD1FBA-5DBC-5343-9850-E47D08B75113}"/>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4388D4AB-144D-C341-A3AA-A3E14FA125B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DD8DDFC-1922-451E-9066-852DD4B8D051}"/>
</file>

<file path=customXml/itemProps2.xml><?xml version="1.0" encoding="utf-8"?>
<ds:datastoreItem xmlns:ds="http://schemas.openxmlformats.org/officeDocument/2006/customXml" ds:itemID="{AB0337C0-7C30-4DE4-B94C-0687DC3BE604}"/>
</file>

<file path=customXml/itemProps3.xml><?xml version="1.0" encoding="utf-8"?>
<ds:datastoreItem xmlns:ds="http://schemas.openxmlformats.org/officeDocument/2006/customXml" ds:itemID="{40C68CCE-183A-47D4-8C4F-FC3D8FE88437}"/>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
  <cp:revision>1</cp:revision>
  <dcterms:created xsi:type="dcterms:W3CDTF">2021-02-10T14:57:43Z</dcterms:created>
  <dcterms:modified xsi:type="dcterms:W3CDTF">2024-04-09T14:40:40Z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