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" sheetId="1" r:id="rId3"/>
    <sheet state="visible" name="Source" sheetId="2" r:id="rId4"/>
  </sheets>
  <definedNames/>
  <calcPr/>
</workbook>
</file>

<file path=xl/sharedStrings.xml><?xml version="1.0" encoding="utf-8"?>
<sst xmlns="http://schemas.openxmlformats.org/spreadsheetml/2006/main" count="2" uniqueCount="2">
  <si>
    <t>Source:</t>
  </si>
  <si>
    <t>https://en.wikipedia.org/wiki/List_of_dance_companies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</si>
</sst>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Inconsolat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List_of_dance_companie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43"/>
    <col customWidth="1" min="2" max="2" width="45.71"/>
    <col customWidth="1" min="3" max="3" width="39.29"/>
    <col customWidth="1" min="4" max="4" width="27.57"/>
    <col customWidth="1" min="5" max="5" width="65.14"/>
    <col customWidth="1" min="6" max="6" width="31.57"/>
  </cols>
  <sheetData>
    <row r="1">
      <c r="A1" s="2" t="str">
        <f>IFERROR(__xludf.DUMMYFUNCTION("IMPORTHTML(""https://en.wikipedia.org/wiki/List_of_dance_companies"",""table"",1)"),"Company")</f>
        <v>Company</v>
      </c>
      <c r="B1" t="str">
        <f>IFERROR(__xludf.DUMMYFUNCTION("""COMPUTED_VALUE"""),"Style")</f>
        <v>Style</v>
      </c>
      <c r="C1" t="str">
        <f>IFERROR(__xludf.DUMMYFUNCTION("""COMPUTED_VALUE"""),"Based in city/region")</f>
        <v>Based in city/region</v>
      </c>
      <c r="D1" t="str">
        <f>IFERROR(__xludf.DUMMYFUNCTION("""COMPUTED_VALUE"""),"Country")</f>
        <v>Country</v>
      </c>
      <c r="E1" t="str">
        <f>IFERROR(__xludf.DUMMYFUNCTION("""COMPUTED_VALUE"""),"Founder
Artistic director (AD)
Choreographer")</f>
        <v>Founder
Artistic director (AD)
Choreographer</v>
      </c>
      <c r="F1" t="str">
        <f>IFERROR(__xludf.DUMMYFUNCTION("""COMPUTED_VALUE"""),"Active")</f>
        <v>Active</v>
      </c>
    </row>
    <row r="2">
      <c r="A2" t="str">
        <f>IFERROR(__xludf.DUMMYFUNCTION("""COMPUTED_VALUE"""),"3e étage")</f>
        <v>3e étage</v>
      </c>
      <c r="B2" t="str">
        <f>IFERROR(__xludf.DUMMYFUNCTION("""COMPUTED_VALUE"""),"")</f>
        <v/>
      </c>
      <c r="C2" t="str">
        <f>IFERROR(__xludf.DUMMYFUNCTION("""COMPUTED_VALUE"""),"Paris")</f>
        <v>Paris</v>
      </c>
      <c r="D2" t="str">
        <f>IFERROR(__xludf.DUMMYFUNCTION("""COMPUTED_VALUE"""),"France")</f>
        <v>France</v>
      </c>
      <c r="E2" t="str">
        <f>IFERROR(__xludf.DUMMYFUNCTION("""COMPUTED_VALUE"""),"Founder &amp; AD Samuel Murez")</f>
        <v>Founder &amp; AD Samuel Murez</v>
      </c>
      <c r="F2" t="str">
        <f>IFERROR(__xludf.DUMMYFUNCTION("""COMPUTED_VALUE"""),"2006–present")</f>
        <v>2006–present</v>
      </c>
    </row>
    <row r="3">
      <c r="A3" t="str">
        <f>IFERROR(__xludf.DUMMYFUNCTION("""COMPUTED_VALUE"""),"Balletcollective")</f>
        <v>Balletcollective</v>
      </c>
      <c r="B3" t="str">
        <f>IFERROR(__xludf.DUMMYFUNCTION("""COMPUTED_VALUE"""),"Ballet, Artist collective, Contemporary ballet")</f>
        <v>Ballet, Artist collective, Contemporary ballet</v>
      </c>
      <c r="C3" t="str">
        <f>IFERROR(__xludf.DUMMYFUNCTION("""COMPUTED_VALUE"""),"New York City")</f>
        <v>New York City</v>
      </c>
      <c r="D3" t="str">
        <f>IFERROR(__xludf.DUMMYFUNCTION("""COMPUTED_VALUE"""),"United States")</f>
        <v>United States</v>
      </c>
      <c r="E3" t="str">
        <f>IFERROR(__xludf.DUMMYFUNCTION("""COMPUTED_VALUE"""),"Founder and Director Troy Schumacher")</f>
        <v>Founder and Director Troy Schumacher</v>
      </c>
      <c r="F3" t="str">
        <f>IFERROR(__xludf.DUMMYFUNCTION("""COMPUTED_VALUE"""),"2010–present")</f>
        <v>2010–present</v>
      </c>
    </row>
    <row r="4">
      <c r="A4" t="str">
        <f>IFERROR(__xludf.DUMMYFUNCTION("""COMPUTED_VALUE"""),"Ability Unlimited")</f>
        <v>Ability Unlimited</v>
      </c>
      <c r="B4" t="str">
        <f>IFERROR(__xludf.DUMMYFUNCTION("""COMPUTED_VALUE"""),"Indian classical dance")</f>
        <v>Indian classical dance</v>
      </c>
      <c r="C4" t="str">
        <f>IFERROR(__xludf.DUMMYFUNCTION("""COMPUTED_VALUE"""),"New Delhi")</f>
        <v>New Delhi</v>
      </c>
      <c r="D4" t="str">
        <f>IFERROR(__xludf.DUMMYFUNCTION("""COMPUTED_VALUE"""),"India")</f>
        <v>India</v>
      </c>
      <c r="E4" t="str">
        <f>IFERROR(__xludf.DUMMYFUNCTION("""COMPUTED_VALUE"""),"Founder &amp; Director Syed Sallauddin Pasha")</f>
        <v>Founder &amp; Director Syed Sallauddin Pasha</v>
      </c>
      <c r="F4" t="str">
        <f>IFERROR(__xludf.DUMMYFUNCTION("""COMPUTED_VALUE"""),"early 1980s–present")</f>
        <v>early 1980s–present</v>
      </c>
    </row>
    <row r="5">
      <c r="A5" t="str">
        <f>IFERROR(__xludf.DUMMYFUNCTION("""COMPUTED_VALUE"""),"Abby Lee Dance Company")</f>
        <v>Abby Lee Dance Company</v>
      </c>
      <c r="B5" t="str">
        <f>IFERROR(__xludf.DUMMYFUNCTION("""COMPUTED_VALUE"""),"contemporary")</f>
        <v>contemporary</v>
      </c>
      <c r="C5" t="str">
        <f>IFERROR(__xludf.DUMMYFUNCTION("""COMPUTED_VALUE"""),"Los Angeles")</f>
        <v>Los Angeles</v>
      </c>
      <c r="D5" t="str">
        <f>IFERROR(__xludf.DUMMYFUNCTION("""COMPUTED_VALUE"""),"United States")</f>
        <v>United States</v>
      </c>
      <c r="E5" t="str">
        <f>IFERROR(__xludf.DUMMYFUNCTION("""COMPUTED_VALUE"""),"Founder &amp; Director Abby Lee Miller")</f>
        <v>Founder &amp; Director Abby Lee Miller</v>
      </c>
      <c r="F5" t="str">
        <f>IFERROR(__xludf.DUMMYFUNCTION("""COMPUTED_VALUE"""),"1980–present")</f>
        <v>1980–present</v>
      </c>
    </row>
    <row r="6">
      <c r="A6" t="str">
        <f>IFERROR(__xludf.DUMMYFUNCTION("""COMPUTED_VALUE"""),"Aglaja")</f>
        <v>Aglaja</v>
      </c>
      <c r="B6" t="str">
        <f>IFERROR(__xludf.DUMMYFUNCTION("""COMPUTED_VALUE"""),"contemporary dance")</f>
        <v>contemporary dance</v>
      </c>
      <c r="C6" t="str">
        <f>IFERROR(__xludf.DUMMYFUNCTION("""COMPUTED_VALUE"""),"Bruges")</f>
        <v>Bruges</v>
      </c>
      <c r="D6" t="str">
        <f>IFERROR(__xludf.DUMMYFUNCTION("""COMPUTED_VALUE"""),"Belgium")</f>
        <v>Belgium</v>
      </c>
      <c r="E6" t="str">
        <f>IFERROR(__xludf.DUMMYFUNCTION("""COMPUTED_VALUE"""),"Founder Jan Dewulf")</f>
        <v>Founder Jan Dewulf</v>
      </c>
      <c r="F6" t="str">
        <f>IFERROR(__xludf.DUMMYFUNCTION("""COMPUTED_VALUE"""),"late 1960s–present")</f>
        <v>late 1960s–present</v>
      </c>
    </row>
    <row r="7">
      <c r="A7" t="str">
        <f>IFERROR(__xludf.DUMMYFUNCTION("""COMPUTED_VALUE"""),"Agnes de Mille Dance Theatre")</f>
        <v>Agnes de Mille Dance Theatre</v>
      </c>
      <c r="B7" t="str">
        <f>IFERROR(__xludf.DUMMYFUNCTION("""COMPUTED_VALUE"""),"ballet and Broadway-style dance theatre")</f>
        <v>ballet and Broadway-style dance theatre</v>
      </c>
      <c r="C7" t="str">
        <f>IFERROR(__xludf.DUMMYFUNCTION("""COMPUTED_VALUE"""),"Winston-Salem, North Carolina")</f>
        <v>Winston-Salem, North Carolina</v>
      </c>
      <c r="D7" t="str">
        <f>IFERROR(__xludf.DUMMYFUNCTION("""COMPUTED_VALUE"""),"United States")</f>
        <v>United States</v>
      </c>
      <c r="E7" t="str">
        <f>IFERROR(__xludf.DUMMYFUNCTION("""COMPUTED_VALUE"""),"Founder Agnes de Mille")</f>
        <v>Founder Agnes de Mille</v>
      </c>
      <c r="F7" t="str">
        <f>IFERROR(__xludf.DUMMYFUNCTION("""COMPUTED_VALUE"""),"1953–1954 and 1974–1975")</f>
        <v>1953–1954 and 1974–1975</v>
      </c>
    </row>
    <row r="8">
      <c r="A8" t="str">
        <f>IFERROR(__xludf.DUMMYFUNCTION("""COMPUTED_VALUE"""),"Alameda Civic Ballet")</f>
        <v>Alameda Civic Ballet</v>
      </c>
      <c r="B8" t="str">
        <f>IFERROR(__xludf.DUMMYFUNCTION("""COMPUTED_VALUE"""),"ballet")</f>
        <v>ballet</v>
      </c>
      <c r="C8" t="str">
        <f>IFERROR(__xludf.DUMMYFUNCTION("""COMPUTED_VALUE"""),"Alameda, California")</f>
        <v>Alameda, California</v>
      </c>
      <c r="D8" t="str">
        <f>IFERROR(__xludf.DUMMYFUNCTION("""COMPUTED_VALUE"""),"United States")</f>
        <v>United States</v>
      </c>
      <c r="E8" t="str">
        <f>IFERROR(__xludf.DUMMYFUNCTION("""COMPUTED_VALUE"""),"AD Abra Rudisill")</f>
        <v>AD Abra Rudisill</v>
      </c>
      <c r="F8" t="str">
        <f>IFERROR(__xludf.DUMMYFUNCTION("""COMPUTED_VALUE"""),"2003–present")</f>
        <v>2003–present</v>
      </c>
    </row>
    <row r="9">
      <c r="A9" t="str">
        <f>IFERROR(__xludf.DUMMYFUNCTION("""COMPUTED_VALUE"""),"Alberta Ballet Company")</f>
        <v>Alberta Ballet Company</v>
      </c>
      <c r="B9" t="str">
        <f>IFERROR(__xludf.DUMMYFUNCTION("""COMPUTED_VALUE"""),"ballet")</f>
        <v>ballet</v>
      </c>
      <c r="C9" t="str">
        <f>IFERROR(__xludf.DUMMYFUNCTION("""COMPUTED_VALUE"""),"Edmonton, Alberta")</f>
        <v>Edmonton, Alberta</v>
      </c>
      <c r="D9" t="str">
        <f>IFERROR(__xludf.DUMMYFUNCTION("""COMPUTED_VALUE"""),"Canada")</f>
        <v>Canada</v>
      </c>
      <c r="E9" t="str">
        <f>IFERROR(__xludf.DUMMYFUNCTION("""COMPUTED_VALUE"""),"- Founder Ruth Carse
   - AD Jean Grand-Maître")</f>
        <v>- Founder Ruth Carse
   - AD Jean Grand-Maître</v>
      </c>
      <c r="F9" t="str">
        <f>IFERROR(__xludf.DUMMYFUNCTION("""COMPUTED_VALUE"""),"early 1950s–present")</f>
        <v>early 1950s–present</v>
      </c>
    </row>
    <row r="10">
      <c r="A10" t="str">
        <f>IFERROR(__xludf.DUMMYFUNCTION("""COMPUTED_VALUE"""),"Alonzo King LINES Ballet")</f>
        <v>Alonzo King LINES Ballet</v>
      </c>
      <c r="B10" t="str">
        <f>IFERROR(__xludf.DUMMYFUNCTION("""COMPUTED_VALUE"""),"contemporary ballet")</f>
        <v>contemporary ballet</v>
      </c>
      <c r="C10" t="str">
        <f>IFERROR(__xludf.DUMMYFUNCTION("""COMPUTED_VALUE"""),"San Francisco, California")</f>
        <v>San Francisco, California</v>
      </c>
      <c r="D10" t="str">
        <f>IFERROR(__xludf.DUMMYFUNCTION("""COMPUTED_VALUE"""),"United States")</f>
        <v>United States</v>
      </c>
      <c r="E10" t="str">
        <f>IFERROR(__xludf.DUMMYFUNCTION("""COMPUTED_VALUE"""),"Founder &amp; AD Alonzo King")</f>
        <v>Founder &amp; AD Alonzo King</v>
      </c>
      <c r="F10" t="str">
        <f>IFERROR(__xludf.DUMMYFUNCTION("""COMPUTED_VALUE"""),"1982–present")</f>
        <v>1982–present</v>
      </c>
    </row>
    <row r="11">
      <c r="A11" t="str">
        <f>IFERROR(__xludf.DUMMYFUNCTION("""COMPUTED_VALUE"""),"Alvin Ailey American Dance Theater")</f>
        <v>Alvin Ailey American Dance Theater</v>
      </c>
      <c r="B11" t="str">
        <f>IFERROR(__xludf.DUMMYFUNCTION("""COMPUTED_VALUE"""),"modern dance")</f>
        <v>modern dance</v>
      </c>
      <c r="C11" t="str">
        <f>IFERROR(__xludf.DUMMYFUNCTION("""COMPUTED_VALUE"""),"New York City")</f>
        <v>New York City</v>
      </c>
      <c r="D11" t="str">
        <f>IFERROR(__xludf.DUMMYFUNCTION("""COMPUTED_VALUE"""),"United States")</f>
        <v>United States</v>
      </c>
      <c r="E11" t="str">
        <f>IFERROR(__xludf.DUMMYFUNCTION("""COMPUTED_VALUE"""),"- Founder Alvin Ailey
   - AD Robert Battle")</f>
        <v>- Founder Alvin Ailey
   - AD Robert Battle</v>
      </c>
      <c r="F11" t="str">
        <f>IFERROR(__xludf.DUMMYFUNCTION("""COMPUTED_VALUE"""),"1958–present")</f>
        <v>1958–present</v>
      </c>
    </row>
    <row r="12">
      <c r="A12" t="str">
        <f>IFERROR(__xludf.DUMMYFUNCTION("""COMPUTED_VALUE"""),"American Ballet Theatre (formerly Mordkin Ballet, Ballet Theatre)")</f>
        <v>American Ballet Theatre (formerly Mordkin Ballet, Ballet Theatre)</v>
      </c>
      <c r="B12" t="str">
        <f>IFERROR(__xludf.DUMMYFUNCTION("""COMPUTED_VALUE"""),"ballet")</f>
        <v>ballet</v>
      </c>
      <c r="C12" t="str">
        <f>IFERROR(__xludf.DUMMYFUNCTION("""COMPUTED_VALUE"""),"New York City")</f>
        <v>New York City</v>
      </c>
      <c r="D12" t="str">
        <f>IFERROR(__xludf.DUMMYFUNCTION("""COMPUTED_VALUE"""),"United States")</f>
        <v>United States</v>
      </c>
      <c r="E12" t="str">
        <f>IFERROR(__xludf.DUMMYFUNCTION("""COMPUTED_VALUE"""),"- Founder Mikhail Mordkin
   - AD Kevin McKenzie")</f>
        <v>- Founder Mikhail Mordkin
   - AD Kevin McKenzie</v>
      </c>
      <c r="F12" t="str">
        <f>IFERROR(__xludf.DUMMYFUNCTION("""COMPUTED_VALUE"""),"1937–present")</f>
        <v>1937–present</v>
      </c>
    </row>
    <row r="13">
      <c r="A13" t="str">
        <f>IFERROR(__xludf.DUMMYFUNCTION("""COMPUTED_VALUE"""),"American Chamber Ballet")</f>
        <v>American Chamber Ballet</v>
      </c>
      <c r="B13" t="str">
        <f>IFERROR(__xludf.DUMMYFUNCTION("""COMPUTED_VALUE"""),"ballet")</f>
        <v>ballet</v>
      </c>
      <c r="C13" t="str">
        <f>IFERROR(__xludf.DUMMYFUNCTION("""COMPUTED_VALUE"""),"New York City")</f>
        <v>New York City</v>
      </c>
      <c r="D13" t="str">
        <f>IFERROR(__xludf.DUMMYFUNCTION("""COMPUTED_VALUE"""),"United States")</f>
        <v>United States</v>
      </c>
      <c r="E13" t="str">
        <f>IFERROR(__xludf.DUMMYFUNCTION("""COMPUTED_VALUE"""),"Founder Joel Benjamin")</f>
        <v>Founder Joel Benjamin</v>
      </c>
      <c r="F13" t="str">
        <f>IFERROR(__xludf.DUMMYFUNCTION("""COMPUTED_VALUE"""),"(unknown)–1976")</f>
        <v>(unknown)–1976</v>
      </c>
    </row>
    <row r="14">
      <c r="A14" t="str">
        <f>IFERROR(__xludf.DUMMYFUNCTION("""COMPUTED_VALUE"""),"American National Ballet")</f>
        <v>American National Ballet</v>
      </c>
      <c r="B14" t="str">
        <f>IFERROR(__xludf.DUMMYFUNCTION("""COMPUTED_VALUE"""),"ballet")</f>
        <v>ballet</v>
      </c>
      <c r="C14" t="str">
        <f>IFERROR(__xludf.DUMMYFUNCTION("""COMPUTED_VALUE"""),"Duluth, Minnesota")</f>
        <v>Duluth, Minnesota</v>
      </c>
      <c r="D14" t="str">
        <f>IFERROR(__xludf.DUMMYFUNCTION("""COMPUTED_VALUE"""),"United States")</f>
        <v>United States</v>
      </c>
      <c r="E14" t="str">
        <f>IFERROR(__xludf.DUMMYFUNCTION("""COMPUTED_VALUE"""),"AD Armando Maldonado")</f>
        <v>AD Armando Maldonado</v>
      </c>
      <c r="F14" t="str">
        <f>IFERROR(__xludf.DUMMYFUNCTION("""COMPUTED_VALUE"""),"2001–2006")</f>
        <v>2001–2006</v>
      </c>
    </row>
    <row r="15">
      <c r="A15" t="str">
        <f>IFERROR(__xludf.DUMMYFUNCTION("""COMPUTED_VALUE"""),"Arcane Collective")</f>
        <v>Arcane Collective</v>
      </c>
      <c r="B15" t="str">
        <f>IFERROR(__xludf.DUMMYFUNCTION("""COMPUTED_VALUE"""),"contemporary dance")</f>
        <v>contemporary dance</v>
      </c>
      <c r="C15" t="str">
        <f>IFERROR(__xludf.DUMMYFUNCTION("""COMPUTED_VALUE"""),"")</f>
        <v/>
      </c>
      <c r="D15" t="str">
        <f>IFERROR(__xludf.DUMMYFUNCTION("""COMPUTED_VALUE"""),"")</f>
        <v/>
      </c>
      <c r="E15" t="str">
        <f>IFERROR(__xludf.DUMMYFUNCTION("""COMPUTED_VALUE"""),"Founder Morleigh Steinberg and Oguri")</f>
        <v>Founder Morleigh Steinberg and Oguri</v>
      </c>
      <c r="F15" t="str">
        <f>IFERROR(__xludf.DUMMYFUNCTION("""COMPUTED_VALUE"""),"2011–present")</f>
        <v>2011–present</v>
      </c>
    </row>
    <row r="16">
      <c r="A16" t="str">
        <f>IFERROR(__xludf.DUMMYFUNCTION("""COMPUTED_VALUE"""),"Aspen Santa Fe Ballet")</f>
        <v>Aspen Santa Fe Ballet</v>
      </c>
      <c r="B16" t="str">
        <f>IFERROR(__xludf.DUMMYFUNCTION("""COMPUTED_VALUE"""),"contemporary ballet")</f>
        <v>contemporary ballet</v>
      </c>
      <c r="C16" t="str">
        <f>IFERROR(__xludf.DUMMYFUNCTION("""COMPUTED_VALUE"""),"Aspen, Colorado
Santa Fe, New Mexico")</f>
        <v>Aspen, Colorado
Santa Fe, New Mexico</v>
      </c>
      <c r="D16" t="str">
        <f>IFERROR(__xludf.DUMMYFUNCTION("""COMPUTED_VALUE"""),"United States")</f>
        <v>United States</v>
      </c>
      <c r="E16" t="str">
        <f>IFERROR(__xludf.DUMMYFUNCTION("""COMPUTED_VALUE"""),"AD Tom Mossbrucker")</f>
        <v>AD Tom Mossbrucker</v>
      </c>
      <c r="F16" t="str">
        <f>IFERROR(__xludf.DUMMYFUNCTION("""COMPUTED_VALUE"""),"2000–present (in current incarnation)")</f>
        <v>2000–present (in current incarnation)</v>
      </c>
    </row>
    <row r="17">
      <c r="A17" t="str">
        <f>IFERROR(__xludf.DUMMYFUNCTION("""COMPUTED_VALUE"""),"Atlanta Ballet")</f>
        <v>Atlanta Ballet</v>
      </c>
      <c r="B17" t="str">
        <f>IFERROR(__xludf.DUMMYFUNCTION("""COMPUTED_VALUE"""),"ballet")</f>
        <v>ballet</v>
      </c>
      <c r="C17" t="str">
        <f>IFERROR(__xludf.DUMMYFUNCTION("""COMPUTED_VALUE"""),"Atlanta, Georgia")</f>
        <v>Atlanta, Georgia</v>
      </c>
      <c r="D17" t="str">
        <f>IFERROR(__xludf.DUMMYFUNCTION("""COMPUTED_VALUE"""),"United States")</f>
        <v>United States</v>
      </c>
      <c r="E17" t="str">
        <f>IFERROR(__xludf.DUMMYFUNCTION("""COMPUTED_VALUE"""),"AD John McFall")</f>
        <v>AD John McFall</v>
      </c>
      <c r="F17" t="str">
        <f>IFERROR(__xludf.DUMMYFUNCTION("""COMPUTED_VALUE"""),"1929–present")</f>
        <v>1929–present</v>
      </c>
    </row>
    <row r="18">
      <c r="A18" t="str">
        <f>IFERROR(__xludf.DUMMYFUNCTION("""COMPUTED_VALUE"""),"Atlanta Festival Ballet")</f>
        <v>Atlanta Festival Ballet</v>
      </c>
      <c r="B18" t="str">
        <f>IFERROR(__xludf.DUMMYFUNCTION("""COMPUTED_VALUE"""),"ballet")</f>
        <v>ballet</v>
      </c>
      <c r="C18" t="str">
        <f>IFERROR(__xludf.DUMMYFUNCTION("""COMPUTED_VALUE"""),"Stockbridge, Georgia")</f>
        <v>Stockbridge, Georgia</v>
      </c>
      <c r="D18" t="str">
        <f>IFERROR(__xludf.DUMMYFUNCTION("""COMPUTED_VALUE"""),"United States")</f>
        <v>United States</v>
      </c>
      <c r="E18" t="str">
        <f>IFERROR(__xludf.DUMMYFUNCTION("""COMPUTED_VALUE"""),"Co-ADs Gregory Aaron &amp; Nicolas Pacaña")</f>
        <v>Co-ADs Gregory Aaron &amp; Nicolas Pacaña</v>
      </c>
      <c r="F18" t="str">
        <f>IFERROR(__xludf.DUMMYFUNCTION("""COMPUTED_VALUE"""),"1989–present")</f>
        <v>1989–present</v>
      </c>
    </row>
    <row r="19">
      <c r="A19" t="str">
        <f>IFERROR(__xludf.DUMMYFUNCTION("""COMPUTED_VALUE"""),"Atlantic Ballet Theatre of Canada")</f>
        <v>Atlantic Ballet Theatre of Canada</v>
      </c>
      <c r="B19" t="str">
        <f>IFERROR(__xludf.DUMMYFUNCTION("""COMPUTED_VALUE"""),"ballet")</f>
        <v>ballet</v>
      </c>
      <c r="C19" t="str">
        <f>IFERROR(__xludf.DUMMYFUNCTION("""COMPUTED_VALUE"""),"Moncton, New Brunswick")</f>
        <v>Moncton, New Brunswick</v>
      </c>
      <c r="D19" t="str">
        <f>IFERROR(__xludf.DUMMYFUNCTION("""COMPUTED_VALUE"""),"Canada")</f>
        <v>Canada</v>
      </c>
      <c r="E19" t="str">
        <f>IFERROR(__xludf.DUMMYFUNCTION("""COMPUTED_VALUE"""),"- Founder Susan Chalmers-Gauvin
   - AD Igor Dobrovolskiy")</f>
        <v>- Founder Susan Chalmers-Gauvin
   - AD Igor Dobrovolskiy</v>
      </c>
      <c r="F19" t="str">
        <f>IFERROR(__xludf.DUMMYFUNCTION("""COMPUTED_VALUE"""),"2002–present")</f>
        <v>2002–present</v>
      </c>
    </row>
    <row r="20">
      <c r="A20" t="str">
        <f>IFERROR(__xludf.DUMMYFUNCTION("""COMPUTED_VALUE"""),"The Australian Ballet")</f>
        <v>The Australian Ballet</v>
      </c>
      <c r="B20" t="str">
        <f>IFERROR(__xludf.DUMMYFUNCTION("""COMPUTED_VALUE"""),"ballet")</f>
        <v>ballet</v>
      </c>
      <c r="C20" t="str">
        <f>IFERROR(__xludf.DUMMYFUNCTION("""COMPUTED_VALUE"""),"Melbourne")</f>
        <v>Melbourne</v>
      </c>
      <c r="D20" t="str">
        <f>IFERROR(__xludf.DUMMYFUNCTION("""COMPUTED_VALUE"""),"Australia")</f>
        <v>Australia</v>
      </c>
      <c r="E20" t="str">
        <f>IFERROR(__xludf.DUMMYFUNCTION("""COMPUTED_VALUE"""),"AD David McAllister")</f>
        <v>AD David McAllister</v>
      </c>
      <c r="F20" t="str">
        <f>IFERROR(__xludf.DUMMYFUNCTION("""COMPUTED_VALUE"""),"1962–present")</f>
        <v>1962–present</v>
      </c>
    </row>
    <row r="21">
      <c r="A21" t="str">
        <f>IFERROR(__xludf.DUMMYFUNCTION("""COMPUTED_VALUE"""),"Australian Dance Theatre")</f>
        <v>Australian Dance Theatre</v>
      </c>
      <c r="B21" t="str">
        <f>IFERROR(__xludf.DUMMYFUNCTION("""COMPUTED_VALUE"""),"contemporary")</f>
        <v>contemporary</v>
      </c>
      <c r="C21" t="str">
        <f>IFERROR(__xludf.DUMMYFUNCTION("""COMPUTED_VALUE"""),"Adelaide")</f>
        <v>Adelaide</v>
      </c>
      <c r="D21" t="str">
        <f>IFERROR(__xludf.DUMMYFUNCTION("""COMPUTED_VALUE"""),"Australia")</f>
        <v>Australia</v>
      </c>
      <c r="E21" t="str">
        <f>IFERROR(__xludf.DUMMYFUNCTION("""COMPUTED_VALUE"""),"- Founder Elizabeth Cameron Dalman
   - AD Garry Stewart")</f>
        <v>- Founder Elizabeth Cameron Dalman
   - AD Garry Stewart</v>
      </c>
      <c r="F21" t="str">
        <f>IFERROR(__xludf.DUMMYFUNCTION("""COMPUTED_VALUE"""),"1965–present")</f>
        <v>1965–present</v>
      </c>
    </row>
    <row r="22">
      <c r="A22" t="str">
        <f>IFERROR(__xludf.DUMMYFUNCTION("""COMPUTED_VALUE"""),"AXIS Dance Company")</f>
        <v>AXIS Dance Company</v>
      </c>
      <c r="B22" t="str">
        <f>IFERROR(__xludf.DUMMYFUNCTION("""COMPUTED_VALUE"""),"contemporary")</f>
        <v>contemporary</v>
      </c>
      <c r="C22" t="str">
        <f>IFERROR(__xludf.DUMMYFUNCTION("""COMPUTED_VALUE"""),"Oakland, California")</f>
        <v>Oakland, California</v>
      </c>
      <c r="D22" t="str">
        <f>IFERROR(__xludf.DUMMYFUNCTION("""COMPUTED_VALUE"""),"United States")</f>
        <v>United States</v>
      </c>
      <c r="E22" t="str">
        <f>IFERROR(__xludf.DUMMYFUNCTION("""COMPUTED_VALUE"""),"Founders Bonnie Lewkowicz, Thais Mazur, Judith Smith &amp; others")</f>
        <v>Founders Bonnie Lewkowicz, Thais Mazur, Judith Smith &amp; others</v>
      </c>
      <c r="F22" t="str">
        <f>IFERROR(__xludf.DUMMYFUNCTION("""COMPUTED_VALUE"""),"1987–present")</f>
        <v>1987–present</v>
      </c>
    </row>
    <row r="23">
      <c r="A23" t="str">
        <f>IFERROR(__xludf.DUMMYFUNCTION("""COMPUTED_VALUE"""),"Ballet Austin (formerly Austin Ballet Society)")</f>
        <v>Ballet Austin (formerly Austin Ballet Society)</v>
      </c>
      <c r="B23" t="str">
        <f>IFERROR(__xludf.DUMMYFUNCTION("""COMPUTED_VALUE"""),"ballet")</f>
        <v>ballet</v>
      </c>
      <c r="C23" t="str">
        <f>IFERROR(__xludf.DUMMYFUNCTION("""COMPUTED_VALUE"""),"Austin, Texas")</f>
        <v>Austin, Texas</v>
      </c>
      <c r="D23" t="str">
        <f>IFERROR(__xludf.DUMMYFUNCTION("""COMPUTED_VALUE"""),"United States")</f>
        <v>United States</v>
      </c>
      <c r="E23" t="str">
        <f>IFERROR(__xludf.DUMMYFUNCTION("""COMPUTED_VALUE"""),"AD Stephen Mills")</f>
        <v>AD Stephen Mills</v>
      </c>
      <c r="F23" t="str">
        <f>IFERROR(__xludf.DUMMYFUNCTION("""COMPUTED_VALUE"""),"1956–present")</f>
        <v>1956–present</v>
      </c>
    </row>
    <row r="24">
      <c r="A24" t="str">
        <f>IFERROR(__xludf.DUMMYFUNCTION("""COMPUTED_VALUE"""),"Ballet Deviare")</f>
        <v>Ballet Deviare</v>
      </c>
      <c r="B24" t="str">
        <f>IFERROR(__xludf.DUMMYFUNCTION("""COMPUTED_VALUE"""),"contemporary ballet")</f>
        <v>contemporary ballet</v>
      </c>
      <c r="C24" t="str">
        <f>IFERROR(__xludf.DUMMYFUNCTION("""COMPUTED_VALUE"""),"New York City")</f>
        <v>New York City</v>
      </c>
      <c r="D24" t="str">
        <f>IFERROR(__xludf.DUMMYFUNCTION("""COMPUTED_VALUE"""),"United States")</f>
        <v>United States</v>
      </c>
      <c r="E24" t="str">
        <f>IFERROR(__xludf.DUMMYFUNCTION("""COMPUTED_VALUE"""),"Founders &amp; co-ADs:
Laura Kowalewski &amp; Andrew Carpenter")</f>
        <v>Founders &amp; co-ADs:
Laura Kowalewski &amp; Andrew Carpenter</v>
      </c>
      <c r="F24" t="str">
        <f>IFERROR(__xludf.DUMMYFUNCTION("""COMPUTED_VALUE"""),"")</f>
        <v/>
      </c>
    </row>
    <row r="25">
      <c r="A25" t="str">
        <f>IFERROR(__xludf.DUMMYFUNCTION("""COMPUTED_VALUE"""),"Ballet Fantastique")</f>
        <v>Ballet Fantastique</v>
      </c>
      <c r="B25" t="str">
        <f>IFERROR(__xludf.DUMMYFUNCTION("""COMPUTED_VALUE"""),"ballet")</f>
        <v>ballet</v>
      </c>
      <c r="C25" t="str">
        <f>IFERROR(__xludf.DUMMYFUNCTION("""COMPUTED_VALUE"""),"Eugene, Oregon")</f>
        <v>Eugene, Oregon</v>
      </c>
      <c r="D25" t="str">
        <f>IFERROR(__xludf.DUMMYFUNCTION("""COMPUTED_VALUE"""),"United States")</f>
        <v>United States</v>
      </c>
      <c r="E25" t="str">
        <f>IFERROR(__xludf.DUMMYFUNCTION("""COMPUTED_VALUE"""),"AD Donna Marisa Bontrager")</f>
        <v>AD Donna Marisa Bontrager</v>
      </c>
      <c r="F25" t="str">
        <f>IFERROR(__xludf.DUMMYFUNCTION("""COMPUTED_VALUE"""),"2000–present")</f>
        <v>2000–present</v>
      </c>
    </row>
    <row r="26">
      <c r="A26" t="str">
        <f>IFERROR(__xludf.DUMMYFUNCTION("""COMPUTED_VALUE"""),"Ballet Hispanico")</f>
        <v>Ballet Hispanico</v>
      </c>
      <c r="B26" t="str">
        <f>IFERROR(__xludf.DUMMYFUNCTION("""COMPUTED_VALUE"""),"contemporary")</f>
        <v>contemporary</v>
      </c>
      <c r="C26" t="str">
        <f>IFERROR(__xludf.DUMMYFUNCTION("""COMPUTED_VALUE"""),"New York City")</f>
        <v>New York City</v>
      </c>
      <c r="D26" t="str">
        <f>IFERROR(__xludf.DUMMYFUNCTION("""COMPUTED_VALUE"""),"United States")</f>
        <v>United States</v>
      </c>
      <c r="E26" t="str">
        <f>IFERROR(__xludf.DUMMYFUNCTION("""COMPUTED_VALUE"""),"Founder Tina Ramirez, AD Eduardo Vilaro")</f>
        <v>Founder Tina Ramirez, AD Eduardo Vilaro</v>
      </c>
      <c r="F26" t="str">
        <f>IFERROR(__xludf.DUMMYFUNCTION("""COMPUTED_VALUE"""),"1970–present")</f>
        <v>1970–present</v>
      </c>
    </row>
    <row r="27">
      <c r="A27" t="str">
        <f>IFERROR(__xludf.DUMMYFUNCTION("""COMPUTED_VALUE"""),"Ballet Jörgen Canada")</f>
        <v>Ballet Jörgen Canada</v>
      </c>
      <c r="B27" t="str">
        <f>IFERROR(__xludf.DUMMYFUNCTION("""COMPUTED_VALUE"""),"ballet")</f>
        <v>ballet</v>
      </c>
      <c r="C27" t="str">
        <f>IFERROR(__xludf.DUMMYFUNCTION("""COMPUTED_VALUE"""),"Ontario")</f>
        <v>Ontario</v>
      </c>
      <c r="D27" t="str">
        <f>IFERROR(__xludf.DUMMYFUNCTION("""COMPUTED_VALUE"""),"Canada")</f>
        <v>Canada</v>
      </c>
      <c r="E27" t="str">
        <f>IFERROR(__xludf.DUMMYFUNCTION("""COMPUTED_VALUE"""),"AD Bengt Jörgen")</f>
        <v>AD Bengt Jörgen</v>
      </c>
      <c r="F27" t="str">
        <f>IFERROR(__xludf.DUMMYFUNCTION("""COMPUTED_VALUE"""),"1987–present")</f>
        <v>1987–present</v>
      </c>
    </row>
    <row r="28">
      <c r="A28" t="str">
        <f>IFERROR(__xludf.DUMMYFUNCTION("""COMPUTED_VALUE"""),"Ballet Magnificat!")</f>
        <v>Ballet Magnificat!</v>
      </c>
      <c r="B28" t="str">
        <f>IFERROR(__xludf.DUMMYFUNCTION("""COMPUTED_VALUE"""),"Christian dance company")</f>
        <v>Christian dance company</v>
      </c>
      <c r="C28" t="str">
        <f>IFERROR(__xludf.DUMMYFUNCTION("""COMPUTED_VALUE"""),"Jackson, Mississippi")</f>
        <v>Jackson, Mississippi</v>
      </c>
      <c r="D28" t="str">
        <f>IFERROR(__xludf.DUMMYFUNCTION("""COMPUTED_VALUE"""),"United States")</f>
        <v>United States</v>
      </c>
      <c r="E28" t="str">
        <f>IFERROR(__xludf.DUMMYFUNCTION("""COMPUTED_VALUE"""),"- Founders Keith &amp; Kathy Thibodeaux
   - AD Kathy Thibodeaux")</f>
        <v>- Founders Keith &amp; Kathy Thibodeaux
   - AD Kathy Thibodeaux</v>
      </c>
      <c r="F28" t="str">
        <f>IFERROR(__xludf.DUMMYFUNCTION("""COMPUTED_VALUE"""),"1986–present")</f>
        <v>1986–present</v>
      </c>
    </row>
    <row r="29">
      <c r="A29" t="str">
        <f>IFERROR(__xludf.DUMMYFUNCTION("""COMPUTED_VALUE"""),"Ballet Nacional de Cuba")</f>
        <v>Ballet Nacional de Cuba</v>
      </c>
      <c r="B29" t="str">
        <f>IFERROR(__xludf.DUMMYFUNCTION("""COMPUTED_VALUE"""),"ballet")</f>
        <v>ballet</v>
      </c>
      <c r="C29" t="str">
        <f>IFERROR(__xludf.DUMMYFUNCTION("""COMPUTED_VALUE"""),"Havana")</f>
        <v>Havana</v>
      </c>
      <c r="D29" t="str">
        <f>IFERROR(__xludf.DUMMYFUNCTION("""COMPUTED_VALUE"""),"Cuba")</f>
        <v>Cuba</v>
      </c>
      <c r="E29" t="str">
        <f>IFERROR(__xludf.DUMMYFUNCTION("""COMPUTED_VALUE"""),"Founder Alicia Alonso")</f>
        <v>Founder Alicia Alonso</v>
      </c>
      <c r="F29" t="str">
        <f>IFERROR(__xludf.DUMMYFUNCTION("""COMPUTED_VALUE"""),"1948–present")</f>
        <v>1948–present</v>
      </c>
    </row>
    <row r="30">
      <c r="A30" t="str">
        <f>IFERROR(__xludf.DUMMYFUNCTION("""COMPUTED_VALUE"""),"Ballet Nouveau Colorado")</f>
        <v>Ballet Nouveau Colorado</v>
      </c>
      <c r="B30" t="str">
        <f>IFERROR(__xludf.DUMMYFUNCTION("""COMPUTED_VALUE"""),"contemporary ballet
contemporary dance")</f>
        <v>contemporary ballet
contemporary dance</v>
      </c>
      <c r="C30" t="str">
        <f>IFERROR(__xludf.DUMMYFUNCTION("""COMPUTED_VALUE"""),"Broomfield, Colorado")</f>
        <v>Broomfield, Colorado</v>
      </c>
      <c r="D30" t="str">
        <f>IFERROR(__xludf.DUMMYFUNCTION("""COMPUTED_VALUE"""),"United States")</f>
        <v>United States</v>
      </c>
      <c r="E30" t="str">
        <f>IFERROR(__xludf.DUMMYFUNCTION("""COMPUTED_VALUE"""),"AD Garrett Ammon")</f>
        <v>AD Garrett Ammon</v>
      </c>
      <c r="F30" t="str">
        <f>IFERROR(__xludf.DUMMYFUNCTION("""COMPUTED_VALUE"""),"2002–present")</f>
        <v>2002–present</v>
      </c>
    </row>
    <row r="31">
      <c r="A31" t="str">
        <f>IFERROR(__xludf.DUMMYFUNCTION("""COMPUTED_VALUE"""),"Ballet Philippines")</f>
        <v>Ballet Philippines</v>
      </c>
      <c r="B31" t="str">
        <f>IFERROR(__xludf.DUMMYFUNCTION("""COMPUTED_VALUE"""),"ballet")</f>
        <v>ballet</v>
      </c>
      <c r="C31" t="str">
        <f>IFERROR(__xludf.DUMMYFUNCTION("""COMPUTED_VALUE"""),"Metro Manila")</f>
        <v>Metro Manila</v>
      </c>
      <c r="D31" t="str">
        <f>IFERROR(__xludf.DUMMYFUNCTION("""COMPUTED_VALUE"""),"Philippines")</f>
        <v>Philippines</v>
      </c>
      <c r="E31" t="str">
        <f>IFERROR(__xludf.DUMMYFUNCTION("""COMPUTED_VALUE"""),"AD Paul Alexander Morales")</f>
        <v>AD Paul Alexander Morales</v>
      </c>
      <c r="F31" t="str">
        <f>IFERROR(__xludf.DUMMYFUNCTION("""COMPUTED_VALUE"""),"1969–present")</f>
        <v>1969–present</v>
      </c>
    </row>
    <row r="32">
      <c r="A32" t="str">
        <f>IFERROR(__xludf.DUMMYFUNCTION("""COMPUTED_VALUE"""),"Ballet Russe de Monte-Carlo")</f>
        <v>Ballet Russe de Monte-Carlo</v>
      </c>
      <c r="B32" t="str">
        <f>IFERROR(__xludf.DUMMYFUNCTION("""COMPUTED_VALUE"""),"ballet")</f>
        <v>ballet</v>
      </c>
      <c r="C32" t="str">
        <f>IFERROR(__xludf.DUMMYFUNCTION("""COMPUTED_VALUE"""),"Monte Carlo")</f>
        <v>Monte Carlo</v>
      </c>
      <c r="D32" t="str">
        <f>IFERROR(__xludf.DUMMYFUNCTION("""COMPUTED_VALUE"""),"Monaco")</f>
        <v>Monaco</v>
      </c>
      <c r="E32" t="str">
        <f>IFERROR(__xludf.DUMMYFUNCTION("""COMPUTED_VALUE"""),"Founders René Blum &amp; Wassily de Basil")</f>
        <v>Founders René Blum &amp; Wassily de Basil</v>
      </c>
      <c r="F32" t="str">
        <f>IFERROR(__xludf.DUMMYFUNCTION("""COMPUTED_VALUE"""),"1932–1968")</f>
        <v>1932–1968</v>
      </c>
    </row>
    <row r="33">
      <c r="A33" t="str">
        <f>IFERROR(__xludf.DUMMYFUNCTION("""COMPUTED_VALUE"""),"Ballet Theatre of Queensland")</f>
        <v>Ballet Theatre of Queensland</v>
      </c>
      <c r="B33" t="str">
        <f>IFERROR(__xludf.DUMMYFUNCTION("""COMPUTED_VALUE"""),"ballet")</f>
        <v>ballet</v>
      </c>
      <c r="C33" t="str">
        <f>IFERROR(__xludf.DUMMYFUNCTION("""COMPUTED_VALUE"""),"Queensland")</f>
        <v>Queensland</v>
      </c>
      <c r="D33" t="str">
        <f>IFERROR(__xludf.DUMMYFUNCTION("""COMPUTED_VALUE"""),"Australia")</f>
        <v>Australia</v>
      </c>
      <c r="E33" t="str">
        <f>IFERROR(__xludf.DUMMYFUNCTION("""COMPUTED_VALUE"""),"- Founder Phyllis Danaher
   - ADs Timothy Brown &amp; Libby McDonnell")</f>
        <v>- Founder Phyllis Danaher
   - ADs Timothy Brown &amp; Libby McDonnell</v>
      </c>
      <c r="F33" t="str">
        <f>IFERROR(__xludf.DUMMYFUNCTION("""COMPUTED_VALUE"""),"1937–present")</f>
        <v>1937–present</v>
      </c>
    </row>
    <row r="34">
      <c r="A34" t="str">
        <f>IFERROR(__xludf.DUMMYFUNCTION("""COMPUTED_VALUE"""),"Ballet West")</f>
        <v>Ballet West</v>
      </c>
      <c r="B34" t="str">
        <f>IFERROR(__xludf.DUMMYFUNCTION("""COMPUTED_VALUE"""),"ballet")</f>
        <v>ballet</v>
      </c>
      <c r="C34" t="str">
        <f>IFERROR(__xludf.DUMMYFUNCTION("""COMPUTED_VALUE"""),"Salt Lake City")</f>
        <v>Salt Lake City</v>
      </c>
      <c r="D34" t="str">
        <f>IFERROR(__xludf.DUMMYFUNCTION("""COMPUTED_VALUE"""),"United States")</f>
        <v>United States</v>
      </c>
      <c r="E34" t="str">
        <f>IFERROR(__xludf.DUMMYFUNCTION("""COMPUTED_VALUE"""),"Founder Willam F. Christensen")</f>
        <v>Founder Willam F. Christensen</v>
      </c>
      <c r="F34" t="str">
        <f>IFERROR(__xludf.DUMMYFUNCTION("""COMPUTED_VALUE"""),"1963–present")</f>
        <v>1963–present</v>
      </c>
    </row>
    <row r="35">
      <c r="A35" t="str">
        <f>IFERROR(__xludf.DUMMYFUNCTION("""COMPUTED_VALUE"""),"Les Ballets de Monte-Carlo")</f>
        <v>Les Ballets de Monte-Carlo</v>
      </c>
      <c r="B35" t="str">
        <f>IFERROR(__xludf.DUMMYFUNCTION("""COMPUTED_VALUE"""),"ballet")</f>
        <v>ballet</v>
      </c>
      <c r="C35" t="str">
        <f>IFERROR(__xludf.DUMMYFUNCTION("""COMPUTED_VALUE"""),"Monte Carlo")</f>
        <v>Monte Carlo</v>
      </c>
      <c r="D35" t="str">
        <f>IFERROR(__xludf.DUMMYFUNCTION("""COMPUTED_VALUE"""),"Monaco")</f>
        <v>Monaco</v>
      </c>
      <c r="E35" t="str">
        <f>IFERROR(__xludf.DUMMYFUNCTION("""COMPUTED_VALUE"""),"AD Jean-Christophe Maillot")</f>
        <v>AD Jean-Christophe Maillot</v>
      </c>
      <c r="F35" t="str">
        <f>IFERROR(__xludf.DUMMYFUNCTION("""COMPUTED_VALUE"""),"1985–present")</f>
        <v>1985–present</v>
      </c>
    </row>
    <row r="36">
      <c r="A36" t="str">
        <f>IFERROR(__xludf.DUMMYFUNCTION("""COMPUTED_VALUE"""),"Ballets Russes")</f>
        <v>Ballets Russes</v>
      </c>
      <c r="B36" t="str">
        <f>IFERROR(__xludf.DUMMYFUNCTION("""COMPUTED_VALUE"""),"ballet")</f>
        <v>ballet</v>
      </c>
      <c r="C36" t="str">
        <f>IFERROR(__xludf.DUMMYFUNCTION("""COMPUTED_VALUE"""),"Paris")</f>
        <v>Paris</v>
      </c>
      <c r="D36" t="str">
        <f>IFERROR(__xludf.DUMMYFUNCTION("""COMPUTED_VALUE"""),"France")</f>
        <v>France</v>
      </c>
      <c r="E36" t="str">
        <f>IFERROR(__xludf.DUMMYFUNCTION("""COMPUTED_VALUE"""),"AD Sergei Diaghilev")</f>
        <v>AD Sergei Diaghilev</v>
      </c>
      <c r="F36" t="str">
        <f>IFERROR(__xludf.DUMMYFUNCTION("""COMPUTED_VALUE"""),"1909–1929")</f>
        <v>1909–1929</v>
      </c>
    </row>
    <row r="37">
      <c r="A37" t="str">
        <f>IFERROR(__xludf.DUMMYFUNCTION("""COMPUTED_VALUE"""),"Les Ballets Trockadero de Monte Carlo")</f>
        <v>Les Ballets Trockadero de Monte Carlo</v>
      </c>
      <c r="B37" t="str">
        <f>IFERROR(__xludf.DUMMYFUNCTION("""COMPUTED_VALUE"""),"ballet")</f>
        <v>ballet</v>
      </c>
      <c r="C37" t="str">
        <f>IFERROR(__xludf.DUMMYFUNCTION("""COMPUTED_VALUE"""),"New York City")</f>
        <v>New York City</v>
      </c>
      <c r="D37" t="str">
        <f>IFERROR(__xludf.DUMMYFUNCTION("""COMPUTED_VALUE"""),"United States")</f>
        <v>United States</v>
      </c>
      <c r="E37" t="str">
        <f>IFERROR(__xludf.DUMMYFUNCTION("""COMPUTED_VALUE"""),"- Founders Peter Anastos,
   Antony Bassae &amp; Natch Taylor
   - AD Tory Dobrin")</f>
        <v>- Founders Peter Anastos,
   Antony Bassae &amp; Natch Taylor
   - AD Tory Dobrin</v>
      </c>
      <c r="F37" t="str">
        <f>IFERROR(__xludf.DUMMYFUNCTION("""COMPUTED_VALUE"""),"1974–present")</f>
        <v>1974–present</v>
      </c>
    </row>
    <row r="38">
      <c r="A38" t="str">
        <f>IFERROR(__xludf.DUMMYFUNCTION("""COMPUTED_VALUE"""),"Ballets with a Twist")</f>
        <v>Ballets with a Twist</v>
      </c>
      <c r="B38" t="str">
        <f>IFERROR(__xludf.DUMMYFUNCTION("""COMPUTED_VALUE"""),"ballet")</f>
        <v>ballet</v>
      </c>
      <c r="C38" t="str">
        <f>IFERROR(__xludf.DUMMYFUNCTION("""COMPUTED_VALUE"""),"New York City")</f>
        <v>New York City</v>
      </c>
      <c r="D38" t="str">
        <f>IFERROR(__xludf.DUMMYFUNCTION("""COMPUTED_VALUE"""),"United States")</f>
        <v>United States</v>
      </c>
      <c r="E38" t="str">
        <f>IFERROR(__xludf.DUMMYFUNCTION("""COMPUTED_VALUE"""),"Founder and AD Marilyn Klaus")</f>
        <v>Founder and AD Marilyn Klaus</v>
      </c>
      <c r="F38" t="str">
        <f>IFERROR(__xludf.DUMMYFUNCTION("""COMPUTED_VALUE"""),"1996–present")</f>
        <v>1996–present</v>
      </c>
    </row>
    <row r="39">
      <c r="A39" t="str">
        <f>IFERROR(__xludf.DUMMYFUNCTION("""COMPUTED_VALUE"""),"Bangarra Dance Theatre")</f>
        <v>Bangarra Dance Theatre</v>
      </c>
      <c r="B39" t="str">
        <f>IFERROR(__xludf.DUMMYFUNCTION("""COMPUTED_VALUE"""),"contemporary")</f>
        <v>contemporary</v>
      </c>
      <c r="C39" t="str">
        <f>IFERROR(__xludf.DUMMYFUNCTION("""COMPUTED_VALUE"""),"Sydney")</f>
        <v>Sydney</v>
      </c>
      <c r="D39" t="str">
        <f>IFERROR(__xludf.DUMMYFUNCTION("""COMPUTED_VALUE"""),"Australia")</f>
        <v>Australia</v>
      </c>
      <c r="E39" t="str">
        <f>IFERROR(__xludf.DUMMYFUNCTION("""COMPUTED_VALUE"""),"AD Stephen Page")</f>
        <v>AD Stephen Page</v>
      </c>
      <c r="F39" t="str">
        <f>IFERROR(__xludf.DUMMYFUNCTION("""COMPUTED_VALUE"""),"1989–present")</f>
        <v>1989–present</v>
      </c>
    </row>
    <row r="40">
      <c r="A40" t="str">
        <f>IFERROR(__xludf.DUMMYFUNCTION("""COMPUTED_VALUE"""),"Bat-Dor Dance Company")</f>
        <v>Bat-Dor Dance Company</v>
      </c>
      <c r="B40" t="str">
        <f>IFERROR(__xludf.DUMMYFUNCTION("""COMPUTED_VALUE"""),"modern")</f>
        <v>modern</v>
      </c>
      <c r="C40" t="str">
        <f>IFERROR(__xludf.DUMMYFUNCTION("""COMPUTED_VALUE"""),"Tel Aviv")</f>
        <v>Tel Aviv</v>
      </c>
      <c r="D40" t="str">
        <f>IFERROR(__xludf.DUMMYFUNCTION("""COMPUTED_VALUE"""),"Israel")</f>
        <v>Israel</v>
      </c>
      <c r="E40" t="str">
        <f>IFERROR(__xludf.DUMMYFUNCTION("""COMPUTED_VALUE"""),"Founders Baroness Batsheva de Rothschild &amp; Jeannette Ordman")</f>
        <v>Founders Baroness Batsheva de Rothschild &amp; Jeannette Ordman</v>
      </c>
      <c r="F40" t="str">
        <f>IFERROR(__xludf.DUMMYFUNCTION("""COMPUTED_VALUE"""),"1968–present")</f>
        <v>1968–present</v>
      </c>
    </row>
    <row r="41">
      <c r="A41" t="str">
        <f>IFERROR(__xludf.DUMMYFUNCTION("""COMPUTED_VALUE"""),"Batsheva Dance Company")</f>
        <v>Batsheva Dance Company</v>
      </c>
      <c r="B41" t="str">
        <f>IFERROR(__xludf.DUMMYFUNCTION("""COMPUTED_VALUE"""),"contemporary")</f>
        <v>contemporary</v>
      </c>
      <c r="C41" t="str">
        <f>IFERROR(__xludf.DUMMYFUNCTION("""COMPUTED_VALUE"""),"Tel Aviv")</f>
        <v>Tel Aviv</v>
      </c>
      <c r="D41" t="str">
        <f>IFERROR(__xludf.DUMMYFUNCTION("""COMPUTED_VALUE"""),"Israel")</f>
        <v>Israel</v>
      </c>
      <c r="E41" t="str">
        <f>IFERROR(__xludf.DUMMYFUNCTION("""COMPUTED_VALUE"""),"Founders Baroness Batsheva De Rothschild &amp; Martha Graham 
AD Ohad Naharin")</f>
        <v>Founders Baroness Batsheva De Rothschild &amp; Martha Graham 
AD Ohad Naharin</v>
      </c>
      <c r="F41" t="str">
        <f>IFERROR(__xludf.DUMMYFUNCTION("""COMPUTED_VALUE"""),"1964–present")</f>
        <v>1964–present</v>
      </c>
    </row>
    <row r="42">
      <c r="A42" t="str">
        <f>IFERROR(__xludf.DUMMYFUNCTION("""COMPUTED_VALUE"""),"Bay Pointe Ballet")</f>
        <v>Bay Pointe Ballet</v>
      </c>
      <c r="B42" t="str">
        <f>IFERROR(__xludf.DUMMYFUNCTION("""COMPUTED_VALUE"""),"ballet")</f>
        <v>ballet</v>
      </c>
      <c r="C42" t="str">
        <f>IFERROR(__xludf.DUMMYFUNCTION("""COMPUTED_VALUE"""),"South San Francisco, California")</f>
        <v>South San Francisco, California</v>
      </c>
      <c r="D42" t="str">
        <f>IFERROR(__xludf.DUMMYFUNCTION("""COMPUTED_VALUE"""),"United States")</f>
        <v>United States</v>
      </c>
      <c r="E42" t="str">
        <f>IFERROR(__xludf.DUMMYFUNCTION("""COMPUTED_VALUE"""),"AD Bruce Steivel")</f>
        <v>AD Bruce Steivel</v>
      </c>
      <c r="F42" t="str">
        <f>IFERROR(__xludf.DUMMYFUNCTION("""COMPUTED_VALUE"""),"2013–present")</f>
        <v>2013–present</v>
      </c>
    </row>
    <row r="43">
      <c r="A43" t="str">
        <f>IFERROR(__xludf.DUMMYFUNCTION("""COMPUTED_VALUE"""),"Béjart Ballet")</f>
        <v>Béjart Ballet</v>
      </c>
      <c r="B43" t="str">
        <f>IFERROR(__xludf.DUMMYFUNCTION("""COMPUTED_VALUE"""),"ballet")</f>
        <v>ballet</v>
      </c>
      <c r="C43" t="str">
        <f>IFERROR(__xludf.DUMMYFUNCTION("""COMPUTED_VALUE"""),"Lausanne")</f>
        <v>Lausanne</v>
      </c>
      <c r="D43" t="str">
        <f>IFERROR(__xludf.DUMMYFUNCTION("""COMPUTED_VALUE"""),"Switzerland")</f>
        <v>Switzerland</v>
      </c>
      <c r="E43" t="str">
        <f>IFERROR(__xludf.DUMMYFUNCTION("""COMPUTED_VALUE"""),"AD Gil Roman")</f>
        <v>AD Gil Roman</v>
      </c>
      <c r="F43" t="str">
        <f>IFERROR(__xludf.DUMMYFUNCTION("""COMPUTED_VALUE"""),"1992–present")</f>
        <v>1992–present</v>
      </c>
    </row>
    <row r="44">
      <c r="A44" t="str">
        <f>IFERROR(__xludf.DUMMYFUNCTION("""COMPUTED_VALUE"""),"Bellydance Superstars")</f>
        <v>Bellydance Superstars</v>
      </c>
      <c r="B44" t="str">
        <f>IFERROR(__xludf.DUMMYFUNCTION("""COMPUTED_VALUE"""),"belly dance")</f>
        <v>belly dance</v>
      </c>
      <c r="C44" t="str">
        <f>IFERROR(__xludf.DUMMYFUNCTION("""COMPUTED_VALUE"""),"Los Angeles, California")</f>
        <v>Los Angeles, California</v>
      </c>
      <c r="D44" t="str">
        <f>IFERROR(__xludf.DUMMYFUNCTION("""COMPUTED_VALUE"""),"United States")</f>
        <v>United States</v>
      </c>
      <c r="E44" t="str">
        <f>IFERROR(__xludf.DUMMYFUNCTION("""COMPUTED_VALUE"""),"")</f>
        <v/>
      </c>
      <c r="F44" t="str">
        <f>IFERROR(__xludf.DUMMYFUNCTION("""COMPUTED_VALUE"""),"2003–present")</f>
        <v>2003–present</v>
      </c>
    </row>
    <row r="45">
      <c r="A45" t="str">
        <f>IFERROR(__xludf.DUMMYFUNCTION("""COMPUTED_VALUE"""),"Bill T. Jones/Arnie Zane Dance Company")</f>
        <v>Bill T. Jones/Arnie Zane Dance Company</v>
      </c>
      <c r="B45" t="str">
        <f>IFERROR(__xludf.DUMMYFUNCTION("""COMPUTED_VALUE"""),"modern")</f>
        <v>modern</v>
      </c>
      <c r="C45" t="str">
        <f>IFERROR(__xludf.DUMMYFUNCTION("""COMPUTED_VALUE"""),"New York City")</f>
        <v>New York City</v>
      </c>
      <c r="D45" t="str">
        <f>IFERROR(__xludf.DUMMYFUNCTION("""COMPUTED_VALUE"""),"United States")</f>
        <v>United States</v>
      </c>
      <c r="E45" t="str">
        <f>IFERROR(__xludf.DUMMYFUNCTION("""COMPUTED_VALUE"""),"Founders Bill T. Jones &amp; Arnie Zane")</f>
        <v>Founders Bill T. Jones &amp; Arnie Zane</v>
      </c>
      <c r="F45" t="str">
        <f>IFERROR(__xludf.DUMMYFUNCTION("""COMPUTED_VALUE"""),"1983–present")</f>
        <v>1983–present</v>
      </c>
    </row>
    <row r="46">
      <c r="A46" t="str">
        <f>IFERROR(__xludf.DUMMYFUNCTION("""COMPUTED_VALUE"""),"Birmingham Royal Ballet")</f>
        <v>Birmingham Royal Ballet</v>
      </c>
      <c r="B46" t="str">
        <f>IFERROR(__xludf.DUMMYFUNCTION("""COMPUTED_VALUE"""),"ballet")</f>
        <v>ballet</v>
      </c>
      <c r="C46" t="str">
        <f>IFERROR(__xludf.DUMMYFUNCTION("""COMPUTED_VALUE"""),"Birmingham")</f>
        <v>Birmingham</v>
      </c>
      <c r="D46" t="str">
        <f>IFERROR(__xludf.DUMMYFUNCTION("""COMPUTED_VALUE"""),"England")</f>
        <v>England</v>
      </c>
      <c r="E46" t="str">
        <f>IFERROR(__xludf.DUMMYFUNCTION("""COMPUTED_VALUE"""),"AD David Bintley")</f>
        <v>AD David Bintley</v>
      </c>
      <c r="F46" t="str">
        <f>IFERROR(__xludf.DUMMYFUNCTION("""COMPUTED_VALUE"""),"1931–present")</f>
        <v>1931–present</v>
      </c>
    </row>
    <row r="47">
      <c r="A47" t="str">
        <f>IFERROR(__xludf.DUMMYFUNCTION("""COMPUTED_VALUE"""),"Black Grace")</f>
        <v>Black Grace</v>
      </c>
      <c r="B47" t="str">
        <f>IFERROR(__xludf.DUMMYFUNCTION("""COMPUTED_VALUE"""),"modern")</f>
        <v>modern</v>
      </c>
      <c r="C47" t="str">
        <f>IFERROR(__xludf.DUMMYFUNCTION("""COMPUTED_VALUE"""),"Auckland")</f>
        <v>Auckland</v>
      </c>
      <c r="D47" t="str">
        <f>IFERROR(__xludf.DUMMYFUNCTION("""COMPUTED_VALUE"""),"New Zealand")</f>
        <v>New Zealand</v>
      </c>
      <c r="E47" t="str">
        <f>IFERROR(__xludf.DUMMYFUNCTION("""COMPUTED_VALUE"""),"Founder Neil Ieremia")</f>
        <v>Founder Neil Ieremia</v>
      </c>
      <c r="F47" t="str">
        <f>IFERROR(__xludf.DUMMYFUNCTION("""COMPUTED_VALUE"""),"1995–present")</f>
        <v>1995–present</v>
      </c>
    </row>
    <row r="48">
      <c r="A48" t="str">
        <f>IFERROR(__xludf.DUMMYFUNCTION("""COMPUTED_VALUE"""),"Bolshoi Ballet")</f>
        <v>Bolshoi Ballet</v>
      </c>
      <c r="B48" t="str">
        <f>IFERROR(__xludf.DUMMYFUNCTION("""COMPUTED_VALUE"""),"ballet")</f>
        <v>ballet</v>
      </c>
      <c r="C48" t="str">
        <f>IFERROR(__xludf.DUMMYFUNCTION("""COMPUTED_VALUE"""),"Moscow")</f>
        <v>Moscow</v>
      </c>
      <c r="D48" t="str">
        <f>IFERROR(__xludf.DUMMYFUNCTION("""COMPUTED_VALUE"""),"Russia")</f>
        <v>Russia</v>
      </c>
      <c r="E48" t="str">
        <f>IFERROR(__xludf.DUMMYFUNCTION("""COMPUTED_VALUE"""),"AD Yuri Burlaka")</f>
        <v>AD Yuri Burlaka</v>
      </c>
      <c r="F48" t="str">
        <f>IFERROR(__xludf.DUMMYFUNCTION("""COMPUTED_VALUE"""),"current")</f>
        <v>current</v>
      </c>
    </row>
    <row r="49">
      <c r="A49" t="str">
        <f>IFERROR(__xludf.DUMMYFUNCTION("""COMPUTED_VALUE"""),"Boston Ballet")</f>
        <v>Boston Ballet</v>
      </c>
      <c r="B49" t="str">
        <f>IFERROR(__xludf.DUMMYFUNCTION("""COMPUTED_VALUE"""),"ballet")</f>
        <v>ballet</v>
      </c>
      <c r="C49" t="str">
        <f>IFERROR(__xludf.DUMMYFUNCTION("""COMPUTED_VALUE"""),"Boston, Massachusetts")</f>
        <v>Boston, Massachusetts</v>
      </c>
      <c r="D49" t="str">
        <f>IFERROR(__xludf.DUMMYFUNCTION("""COMPUTED_VALUE"""),"United States")</f>
        <v>United States</v>
      </c>
      <c r="E49" t="str">
        <f>IFERROR(__xludf.DUMMYFUNCTION("""COMPUTED_VALUE"""),"AD Mikko Nissinen")</f>
        <v>AD Mikko Nissinen</v>
      </c>
      <c r="F49" t="str">
        <f>IFERROR(__xludf.DUMMYFUNCTION("""COMPUTED_VALUE"""),"1963–present")</f>
        <v>1963–present</v>
      </c>
    </row>
    <row r="50">
      <c r="A50" t="str">
        <f>IFERROR(__xludf.DUMMYFUNCTION("""COMPUTED_VALUE"""),"Brighton Ballet Theater")</f>
        <v>Brighton Ballet Theater</v>
      </c>
      <c r="B50" t="str">
        <f>IFERROR(__xludf.DUMMYFUNCTION("""COMPUTED_VALUE"""),"ballet")</f>
        <v>ballet</v>
      </c>
      <c r="C50" t="str">
        <f>IFERROR(__xludf.DUMMYFUNCTION("""COMPUTED_VALUE"""),"New York City")</f>
        <v>New York City</v>
      </c>
      <c r="D50" t="str">
        <f>IFERROR(__xludf.DUMMYFUNCTION("""COMPUTED_VALUE"""),"United States")</f>
        <v>United States</v>
      </c>
      <c r="E50" t="str">
        <f>IFERROR(__xludf.DUMMYFUNCTION("""COMPUTED_VALUE"""),"")</f>
        <v/>
      </c>
      <c r="F50" t="str">
        <f>IFERROR(__xludf.DUMMYFUNCTION("""COMPUTED_VALUE"""),"1987–present")</f>
        <v>1987–present</v>
      </c>
    </row>
    <row r="51">
      <c r="A51" t="str">
        <f>IFERROR(__xludf.DUMMYFUNCTION("""COMPUTED_VALUE"""),"Camille A. Brown and Dancers")</f>
        <v>Camille A. Brown and Dancers</v>
      </c>
      <c r="B51" t="str">
        <f>IFERROR(__xludf.DUMMYFUNCTION("""COMPUTED_VALUE"""),"modern")</f>
        <v>modern</v>
      </c>
      <c r="C51" t="str">
        <f>IFERROR(__xludf.DUMMYFUNCTION("""COMPUTED_VALUE"""),"New York City")</f>
        <v>New York City</v>
      </c>
      <c r="D51" t="str">
        <f>IFERROR(__xludf.DUMMYFUNCTION("""COMPUTED_VALUE"""),"United States")</f>
        <v>United States</v>
      </c>
      <c r="E51" t="str">
        <f>IFERROR(__xludf.DUMMYFUNCTION("""COMPUTED_VALUE"""),"Founder Camille A. Brown")</f>
        <v>Founder Camille A. Brown</v>
      </c>
      <c r="F51" t="str">
        <f>IFERROR(__xludf.DUMMYFUNCTION("""COMPUTED_VALUE"""),"2006–present")</f>
        <v>2006–present</v>
      </c>
    </row>
    <row r="52">
      <c r="A52" t="str">
        <f>IFERROR(__xludf.DUMMYFUNCTION("""COMPUTED_VALUE"""),"Candoco")</f>
        <v>Candoco</v>
      </c>
      <c r="B52" t="str">
        <f>IFERROR(__xludf.DUMMYFUNCTION("""COMPUTED_VALUE"""),"contemporary")</f>
        <v>contemporary</v>
      </c>
      <c r="C52" t="str">
        <f>IFERROR(__xludf.DUMMYFUNCTION("""COMPUTED_VALUE"""),"Stanmore, London")</f>
        <v>Stanmore, London</v>
      </c>
      <c r="D52" t="str">
        <f>IFERROR(__xludf.DUMMYFUNCTION("""COMPUTED_VALUE"""),"England")</f>
        <v>England</v>
      </c>
      <c r="E52" t="str">
        <f>IFERROR(__xludf.DUMMYFUNCTION("""COMPUTED_VALUE"""),"Founders Celeste Dandeker &amp; Adam Benjamin")</f>
        <v>Founders Celeste Dandeker &amp; Adam Benjamin</v>
      </c>
      <c r="F52" t="str">
        <f>IFERROR(__xludf.DUMMYFUNCTION("""COMPUTED_VALUE"""),"1991–present")</f>
        <v>1991–present</v>
      </c>
    </row>
    <row r="53">
      <c r="A53" t="str">
        <f>IFERROR(__xludf.DUMMYFUNCTION("""COMPUTED_VALUE"""),"Caracalla Dance Theatre")</f>
        <v>Caracalla Dance Theatre</v>
      </c>
      <c r="B53" t="str">
        <f>IFERROR(__xludf.DUMMYFUNCTION("""COMPUTED_VALUE"""),"contemporary")</f>
        <v>contemporary</v>
      </c>
      <c r="C53" t="str">
        <f>IFERROR(__xludf.DUMMYFUNCTION("""COMPUTED_VALUE"""),"Beirut")</f>
        <v>Beirut</v>
      </c>
      <c r="D53" t="str">
        <f>IFERROR(__xludf.DUMMYFUNCTION("""COMPUTED_VALUE"""),"Lebanon")</f>
        <v>Lebanon</v>
      </c>
      <c r="E53" t="str">
        <f>IFERROR(__xludf.DUMMYFUNCTION("""COMPUTED_VALUE"""),"Founder Abdel-Halim Caracalla")</f>
        <v>Founder Abdel-Halim Caracalla</v>
      </c>
      <c r="F53" t="str">
        <f>IFERROR(__xludf.DUMMYFUNCTION("""COMPUTED_VALUE"""),"1970–present")</f>
        <v>1970–present</v>
      </c>
    </row>
    <row r="54">
      <c r="A54" t="str">
        <f>IFERROR(__xludf.DUMMYFUNCTION("""COMPUTED_VALUE"""),"Carolina Ballet")</f>
        <v>Carolina Ballet</v>
      </c>
      <c r="B54" t="str">
        <f>IFERROR(__xludf.DUMMYFUNCTION("""COMPUTED_VALUE"""),"ballet")</f>
        <v>ballet</v>
      </c>
      <c r="C54" t="str">
        <f>IFERROR(__xludf.DUMMYFUNCTION("""COMPUTED_VALUE"""),"Raleigh, North Carolina")</f>
        <v>Raleigh, North Carolina</v>
      </c>
      <c r="D54" t="str">
        <f>IFERROR(__xludf.DUMMYFUNCTION("""COMPUTED_VALUE"""),"United States")</f>
        <v>United States</v>
      </c>
      <c r="E54" t="str">
        <f>IFERROR(__xludf.DUMMYFUNCTION("""COMPUTED_VALUE"""),"- Founder Ann Vorus
   - AD Robert Weiss")</f>
        <v>- Founder Ann Vorus
   - AD Robert Weiss</v>
      </c>
      <c r="F54" t="str">
        <f>IFERROR(__xludf.DUMMYFUNCTION("""COMPUTED_VALUE"""),"1984–present")</f>
        <v>1984–present</v>
      </c>
    </row>
    <row r="55">
      <c r="A55" t="str">
        <f>IFERROR(__xludf.DUMMYFUNCTION("""COMPUTED_VALUE"""),"Carte Blanche")</f>
        <v>Carte Blanche</v>
      </c>
      <c r="B55" t="str">
        <f>IFERROR(__xludf.DUMMYFUNCTION("""COMPUTED_VALUE"""),"contemporary")</f>
        <v>contemporary</v>
      </c>
      <c r="C55" t="str">
        <f>IFERROR(__xludf.DUMMYFUNCTION("""COMPUTED_VALUE"""),"Bergen")</f>
        <v>Bergen</v>
      </c>
      <c r="D55" t="str">
        <f>IFERROR(__xludf.DUMMYFUNCTION("""COMPUTED_VALUE"""),"Norway")</f>
        <v>Norway</v>
      </c>
      <c r="E55" t="str">
        <f>IFERROR(__xludf.DUMMYFUNCTION("""COMPUTED_VALUE"""),"- Founders Jennifer Day/Toni Ferraz
   - AD Bruno Heynderickx")</f>
        <v>- Founders Jennifer Day/Toni Ferraz
   - AD Bruno Heynderickx</v>
      </c>
      <c r="F55" t="str">
        <f>IFERROR(__xludf.DUMMYFUNCTION("""COMPUTED_VALUE"""),"1984–present")</f>
        <v>1984–present</v>
      </c>
    </row>
    <row r="56">
      <c r="A56" t="str">
        <f>IFERROR(__xludf.DUMMYFUNCTION("""COMPUTED_VALUE"""),"Cedar Lake Contemporary Ballet")</f>
        <v>Cedar Lake Contemporary Ballet</v>
      </c>
      <c r="B56" t="str">
        <f>IFERROR(__xludf.DUMMYFUNCTION("""COMPUTED_VALUE"""),"ballet")</f>
        <v>ballet</v>
      </c>
      <c r="C56" t="str">
        <f>IFERROR(__xludf.DUMMYFUNCTION("""COMPUTED_VALUE"""),"New York City")</f>
        <v>New York City</v>
      </c>
      <c r="D56" t="str">
        <f>IFERROR(__xludf.DUMMYFUNCTION("""COMPUTED_VALUE"""),"United States")</f>
        <v>United States</v>
      </c>
      <c r="E56" t="str">
        <f>IFERROR(__xludf.DUMMYFUNCTION("""COMPUTED_VALUE"""),"- Founder Nancy Laurie
   - AD Benoit-Swan Pouffer")</f>
        <v>- Founder Nancy Laurie
   - AD Benoit-Swan Pouffer</v>
      </c>
      <c r="F56" t="str">
        <f>IFERROR(__xludf.DUMMYFUNCTION("""COMPUTED_VALUE"""),"2003–2015")</f>
        <v>2003–2015</v>
      </c>
    </row>
    <row r="57">
      <c r="A57" t="str">
        <f>IFERROR(__xludf.DUMMYFUNCTION("""COMPUTED_VALUE"""),"*Centre Chorégraphique National de Nantes*")</f>
        <v>*Centre Chorégraphique National de Nantes*</v>
      </c>
      <c r="B57" t="str">
        <f>IFERROR(__xludf.DUMMYFUNCTION("""COMPUTED_VALUE"""),"contemporary")</f>
        <v>contemporary</v>
      </c>
      <c r="C57" t="str">
        <f>IFERROR(__xludf.DUMMYFUNCTION("""COMPUTED_VALUE"""),"Nantes")</f>
        <v>Nantes</v>
      </c>
      <c r="D57" t="str">
        <f>IFERROR(__xludf.DUMMYFUNCTION("""COMPUTED_VALUE"""),"France")</f>
        <v>France</v>
      </c>
      <c r="E57" t="str">
        <f>IFERROR(__xludf.DUMMYFUNCTION("""COMPUTED_VALUE"""),"AD Claude Brumachon and Benjamin Lamarche")</f>
        <v>AD Claude Brumachon and Benjamin Lamarche</v>
      </c>
      <c r="F57" t="str">
        <f>IFERROR(__xludf.DUMMYFUNCTION("""COMPUTED_VALUE"""),"present")</f>
        <v>present</v>
      </c>
    </row>
    <row r="58">
      <c r="A58" t="str">
        <f>IFERROR(__xludf.DUMMYFUNCTION("""COMPUTED_VALUE"""),"Cheremosh Ukrainian Dance Company")</f>
        <v>Cheremosh Ukrainian Dance Company</v>
      </c>
      <c r="B58" t="str">
        <f>IFERROR(__xludf.DUMMYFUNCTION("""COMPUTED_VALUE"""),"Ukrainian dance")</f>
        <v>Ukrainian dance</v>
      </c>
      <c r="C58" t="str">
        <f>IFERROR(__xludf.DUMMYFUNCTION("""COMPUTED_VALUE"""),"Edmonton, Alberta")</f>
        <v>Edmonton, Alberta</v>
      </c>
      <c r="D58" t="str">
        <f>IFERROR(__xludf.DUMMYFUNCTION("""COMPUTED_VALUE"""),"Canada")</f>
        <v>Canada</v>
      </c>
      <c r="E58" t="str">
        <f>IFERROR(__xludf.DUMMYFUNCTION("""COMPUTED_VALUE"""),"- Founder Chester &amp; Luba Kuc
   - AD Mykola Kanevets")</f>
        <v>- Founder Chester &amp; Luba Kuc
   - AD Mykola Kanevets</v>
      </c>
      <c r="F58" t="str">
        <f>IFERROR(__xludf.DUMMYFUNCTION("""COMPUTED_VALUE"""),"1969–present")</f>
        <v>1969–present</v>
      </c>
    </row>
    <row r="59">
      <c r="A59" t="str">
        <f>IFERROR(__xludf.DUMMYFUNCTION("""COMPUTED_VALUE"""),"Chicago Dance Crash")</f>
        <v>Chicago Dance Crash</v>
      </c>
      <c r="B59" t="str">
        <f>IFERROR(__xludf.DUMMYFUNCTION("""COMPUTED_VALUE"""),"hip hop")</f>
        <v>hip hop</v>
      </c>
      <c r="C59" t="str">
        <f>IFERROR(__xludf.DUMMYFUNCTION("""COMPUTED_VALUE"""),"Chicago, Illinois")</f>
        <v>Chicago, Illinois</v>
      </c>
      <c r="D59" t="str">
        <f>IFERROR(__xludf.DUMMYFUNCTION("""COMPUTED_VALUE"""),"United States")</f>
        <v>United States</v>
      </c>
      <c r="E59" t="str">
        <f>IFERROR(__xludf.DUMMYFUNCTION("""COMPUTED_VALUE"""),"AD Jessica Deahr")</f>
        <v>AD Jessica Deahr</v>
      </c>
      <c r="F59" t="str">
        <f>IFERROR(__xludf.DUMMYFUNCTION("""COMPUTED_VALUE"""),"2002–present")</f>
        <v>2002–present</v>
      </c>
    </row>
    <row r="60">
      <c r="A60" t="str">
        <f>IFERROR(__xludf.DUMMYFUNCTION("""COMPUTED_VALUE"""),"Chicago Festival Ballet")</f>
        <v>Chicago Festival Ballet</v>
      </c>
      <c r="B60" t="str">
        <f>IFERROR(__xludf.DUMMYFUNCTION("""COMPUTED_VALUE"""),"ballet")</f>
        <v>ballet</v>
      </c>
      <c r="C60" t="str">
        <f>IFERROR(__xludf.DUMMYFUNCTION("""COMPUTED_VALUE"""),"Chicago, Illinois")</f>
        <v>Chicago, Illinois</v>
      </c>
      <c r="D60" t="str">
        <f>IFERROR(__xludf.DUMMYFUNCTION("""COMPUTED_VALUE"""),"United States")</f>
        <v>United States</v>
      </c>
      <c r="E60" t="str">
        <f>IFERROR(__xludf.DUMMYFUNCTION("""COMPUTED_VALUE"""),"Founder &amp; AD Kenneth von Heidecke")</f>
        <v>Founder &amp; AD Kenneth von Heidecke</v>
      </c>
      <c r="F60" t="str">
        <f>IFERROR(__xludf.DUMMYFUNCTION("""COMPUTED_VALUE"""),"1989–present")</f>
        <v>1989–present</v>
      </c>
    </row>
    <row r="61">
      <c r="A61" t="str">
        <f>IFERROR(__xludf.DUMMYFUNCTION("""COMPUTED_VALUE"""),"Chunky Move")</f>
        <v>Chunky Move</v>
      </c>
      <c r="B61" t="str">
        <f>IFERROR(__xludf.DUMMYFUNCTION("""COMPUTED_VALUE"""),"contemporary")</f>
        <v>contemporary</v>
      </c>
      <c r="C61" t="str">
        <f>IFERROR(__xludf.DUMMYFUNCTION("""COMPUTED_VALUE"""),"Melbourne")</f>
        <v>Melbourne</v>
      </c>
      <c r="D61" t="str">
        <f>IFERROR(__xludf.DUMMYFUNCTION("""COMPUTED_VALUE"""),"Australia")</f>
        <v>Australia</v>
      </c>
      <c r="E61" t="str">
        <f>IFERROR(__xludf.DUMMYFUNCTION("""COMPUTED_VALUE"""),"Founder &amp; AD Gideon Obarzanek")</f>
        <v>Founder &amp; AD Gideon Obarzanek</v>
      </c>
      <c r="F61" t="str">
        <f>IFERROR(__xludf.DUMMYFUNCTION("""COMPUTED_VALUE"""),"1995–present")</f>
        <v>1995–present</v>
      </c>
    </row>
    <row r="62">
      <c r="A62" t="str">
        <f>IFERROR(__xludf.DUMMYFUNCTION("""COMPUTED_VALUE"""),"Cincinnati Ballet")</f>
        <v>Cincinnati Ballet</v>
      </c>
      <c r="B62" t="str">
        <f>IFERROR(__xludf.DUMMYFUNCTION("""COMPUTED_VALUE"""),"ballet")</f>
        <v>ballet</v>
      </c>
      <c r="C62" t="str">
        <f>IFERROR(__xludf.DUMMYFUNCTION("""COMPUTED_VALUE"""),"Cincinnati, Ohio")</f>
        <v>Cincinnati, Ohio</v>
      </c>
      <c r="D62" t="str">
        <f>IFERROR(__xludf.DUMMYFUNCTION("""COMPUTED_VALUE"""),"United States")</f>
        <v>United States</v>
      </c>
      <c r="E62" t="str">
        <f>IFERROR(__xludf.DUMMYFUNCTION("""COMPUTED_VALUE"""),"AD Morgan, Victoria")</f>
        <v>AD Morgan, Victoria</v>
      </c>
      <c r="F62" t="str">
        <f>IFERROR(__xludf.DUMMYFUNCTION("""COMPUTED_VALUE"""),"1963–present")</f>
        <v>1963–present</v>
      </c>
    </row>
    <row r="63">
      <c r="A63" t="str">
        <f>IFERROR(__xludf.DUMMYFUNCTION("""COMPUTED_VALUE"""),"CityDance Ensemble")</f>
        <v>CityDance Ensemble</v>
      </c>
      <c r="B63" t="str">
        <f>IFERROR(__xludf.DUMMYFUNCTION("""COMPUTED_VALUE"""),"modern dance")</f>
        <v>modern dance</v>
      </c>
      <c r="C63" t="str">
        <f>IFERROR(__xludf.DUMMYFUNCTION("""COMPUTED_VALUE"""),"Washington, D.C.")</f>
        <v>Washington, D.C.</v>
      </c>
      <c r="D63" t="str">
        <f>IFERROR(__xludf.DUMMYFUNCTION("""COMPUTED_VALUE"""),"United States")</f>
        <v>United States</v>
      </c>
      <c r="E63" t="str">
        <f>IFERROR(__xludf.DUMMYFUNCTION("""COMPUTED_VALUE"""),"AD Paul Gordon Emerson")</f>
        <v>AD Paul Gordon Emerson</v>
      </c>
      <c r="F63" t="str">
        <f>IFERROR(__xludf.DUMMYFUNCTION("""COMPUTED_VALUE"""),"1996–present")</f>
        <v>1996–present</v>
      </c>
    </row>
    <row r="64">
      <c r="A64" t="str">
        <f>IFERROR(__xludf.DUMMYFUNCTION("""COMPUTED_VALUE"""),"Cloud Gate Dance Theatre")</f>
        <v>Cloud Gate Dance Theatre</v>
      </c>
      <c r="B64" t="str">
        <f>IFERROR(__xludf.DUMMYFUNCTION("""COMPUTED_VALUE"""),"modern")</f>
        <v>modern</v>
      </c>
      <c r="C64" t="str">
        <f>IFERROR(__xludf.DUMMYFUNCTION("""COMPUTED_VALUE"""),"Taiwan")</f>
        <v>Taiwan</v>
      </c>
      <c r="D64" t="str">
        <f>IFERROR(__xludf.DUMMYFUNCTION("""COMPUTED_VALUE"""),"Republic of China")</f>
        <v>Republic of China</v>
      </c>
      <c r="E64" t="str">
        <f>IFERROR(__xludf.DUMMYFUNCTION("""COMPUTED_VALUE"""),"Founder &amp; AD Lin Hwai-min")</f>
        <v>Founder &amp; AD Lin Hwai-min</v>
      </c>
      <c r="F64" t="str">
        <f>IFERROR(__xludf.DUMMYFUNCTION("""COMPUTED_VALUE"""),"1973–present")</f>
        <v>1973–present</v>
      </c>
    </row>
    <row r="65">
      <c r="A65" t="str">
        <f>IFERROR(__xludf.DUMMYFUNCTION("""COMPUTED_VALUE"""),"Cluj-Napoca Romanian Opera")</f>
        <v>Cluj-Napoca Romanian Opera</v>
      </c>
      <c r="B65" t="str">
        <f>IFERROR(__xludf.DUMMYFUNCTION("""COMPUTED_VALUE"""),"ballet")</f>
        <v>ballet</v>
      </c>
      <c r="C65" t="str">
        <f>IFERROR(__xludf.DUMMYFUNCTION("""COMPUTED_VALUE"""),"Cluj-Napoca")</f>
        <v>Cluj-Napoca</v>
      </c>
      <c r="D65" t="str">
        <f>IFERROR(__xludf.DUMMYFUNCTION("""COMPUTED_VALUE"""),"Romania")</f>
        <v>Romania</v>
      </c>
      <c r="E65" t="str">
        <f>IFERROR(__xludf.DUMMYFUNCTION("""COMPUTED_VALUE"""),"")</f>
        <v/>
      </c>
      <c r="F65" t="str">
        <f>IFERROR(__xludf.DUMMYFUNCTION("""COMPUTED_VALUE"""),"1919–present")</f>
        <v>1919–present</v>
      </c>
    </row>
    <row r="66">
      <c r="A66" t="str">
        <f>IFERROR(__xludf.DUMMYFUNCTION("""COMPUTED_VALUE"""),"Columbia City Jazz Dance Company")</f>
        <v>Columbia City Jazz Dance Company</v>
      </c>
      <c r="B66" t="str">
        <f>IFERROR(__xludf.DUMMYFUNCTION("""COMPUTED_VALUE"""),"jazz and contemporary")</f>
        <v>jazz and contemporary</v>
      </c>
      <c r="C66" t="str">
        <f>IFERROR(__xludf.DUMMYFUNCTION("""COMPUTED_VALUE"""),"Columbia, South Carolina")</f>
        <v>Columbia, South Carolina</v>
      </c>
      <c r="D66" t="str">
        <f>IFERROR(__xludf.DUMMYFUNCTION("""COMPUTED_VALUE"""),"United States")</f>
        <v>United States</v>
      </c>
      <c r="E66" t="str">
        <f>IFERROR(__xludf.DUMMYFUNCTION("""COMPUTED_VALUE"""),"Founder &amp; AD Dale Lam")</f>
        <v>Founder &amp; AD Dale Lam</v>
      </c>
      <c r="F66" t="str">
        <f>IFERROR(__xludf.DUMMYFUNCTION("""COMPUTED_VALUE"""),"1990–present")</f>
        <v>1990–present</v>
      </c>
    </row>
    <row r="67">
      <c r="A67" t="str">
        <f>IFERROR(__xludf.DUMMYFUNCTION("""COMPUTED_VALUE"""),"Complexions Contemporary Ballet")</f>
        <v>Complexions Contemporary Ballet</v>
      </c>
      <c r="B67" t="str">
        <f>IFERROR(__xludf.DUMMYFUNCTION("""COMPUTED_VALUE"""),"contemporary")</f>
        <v>contemporary</v>
      </c>
      <c r="C67" t="str">
        <f>IFERROR(__xludf.DUMMYFUNCTION("""COMPUTED_VALUE"""),"New York City")</f>
        <v>New York City</v>
      </c>
      <c r="D67" t="str">
        <f>IFERROR(__xludf.DUMMYFUNCTION("""COMPUTED_VALUE"""),"United States")</f>
        <v>United States</v>
      </c>
      <c r="E67" t="str">
        <f>IFERROR(__xludf.DUMMYFUNCTION("""COMPUTED_VALUE"""),"Founders &amp; ADs Dwight Rhoden &amp; Desmond Richardson")</f>
        <v>Founders &amp; ADs Dwight Rhoden &amp; Desmond Richardson</v>
      </c>
      <c r="F67" t="str">
        <f>IFERROR(__xludf.DUMMYFUNCTION("""COMPUTED_VALUE"""),"1994–present")</f>
        <v>1994–present</v>
      </c>
    </row>
    <row r="68">
      <c r="A68" t="str">
        <f>IFERROR(__xludf.DUMMYFUNCTION("""COMPUTED_VALUE"""),"Contemporary Dance Company of Angola")</f>
        <v>Contemporary Dance Company of Angola</v>
      </c>
      <c r="B68" t="str">
        <f>IFERROR(__xludf.DUMMYFUNCTION("""COMPUTED_VALUE"""),"contemporary")</f>
        <v>contemporary</v>
      </c>
      <c r="C68" t="str">
        <f>IFERROR(__xludf.DUMMYFUNCTION("""COMPUTED_VALUE"""),"")</f>
        <v/>
      </c>
      <c r="D68" t="str">
        <f>IFERROR(__xludf.DUMMYFUNCTION("""COMPUTED_VALUE"""),"Angola")</f>
        <v>Angola</v>
      </c>
      <c r="E68" t="str">
        <f>IFERROR(__xludf.DUMMYFUNCTION("""COMPUTED_VALUE"""),"")</f>
        <v/>
      </c>
      <c r="F68" t="str">
        <f>IFERROR(__xludf.DUMMYFUNCTION("""COMPUTED_VALUE"""),"1991–present")</f>
        <v>1991–present</v>
      </c>
    </row>
    <row r="69">
      <c r="A69" t="str">
        <f>IFERROR(__xludf.DUMMYFUNCTION("""COMPUTED_VALUE"""),"CorbinDances")</f>
        <v>CorbinDances</v>
      </c>
      <c r="B69" t="str">
        <f>IFERROR(__xludf.DUMMYFUNCTION("""COMPUTED_VALUE"""),"modern")</f>
        <v>modern</v>
      </c>
      <c r="C69" t="str">
        <f>IFERROR(__xludf.DUMMYFUNCTION("""COMPUTED_VALUE"""),"New York City")</f>
        <v>New York City</v>
      </c>
      <c r="D69" t="str">
        <f>IFERROR(__xludf.DUMMYFUNCTION("""COMPUTED_VALUE"""),"United States")</f>
        <v>United States</v>
      </c>
      <c r="E69" t="str">
        <f>IFERROR(__xludf.DUMMYFUNCTION("""COMPUTED_VALUE"""),"Founder Patrick Corbin")</f>
        <v>Founder Patrick Corbin</v>
      </c>
      <c r="F69" t="str">
        <f>IFERROR(__xludf.DUMMYFUNCTION("""COMPUTED_VALUE"""),"2005–present")</f>
        <v>2005–present</v>
      </c>
    </row>
    <row r="70">
      <c r="A70" t="str">
        <f>IFERROR(__xludf.DUMMYFUNCTION("""COMPUTED_VALUE"""),"Cullberg Ballet")</f>
        <v>Cullberg Ballet</v>
      </c>
      <c r="B70" t="str">
        <f>IFERROR(__xludf.DUMMYFUNCTION("""COMPUTED_VALUE"""),"ballet")</f>
        <v>ballet</v>
      </c>
      <c r="C70" t="str">
        <f>IFERROR(__xludf.DUMMYFUNCTION("""COMPUTED_VALUE"""),"Hallunda (Riksteatern headquarters)")</f>
        <v>Hallunda (Riksteatern headquarters)</v>
      </c>
      <c r="D70" t="str">
        <f>IFERROR(__xludf.DUMMYFUNCTION("""COMPUTED_VALUE"""),"Sweden")</f>
        <v>Sweden</v>
      </c>
      <c r="E70" t="str">
        <f>IFERROR(__xludf.DUMMYFUNCTION("""COMPUTED_VALUE"""),"- Founder Birgit Cullberg
   - AD Anna Grip")</f>
        <v>- Founder Birgit Cullberg
   - AD Anna Grip</v>
      </c>
      <c r="F70" t="str">
        <f>IFERROR(__xludf.DUMMYFUNCTION("""COMPUTED_VALUE"""),"1967–present")</f>
        <v>1967–present</v>
      </c>
    </row>
    <row r="71">
      <c r="A71" t="str">
        <f>IFERROR(__xludf.DUMMYFUNCTION("""COMPUTED_VALUE"""),"D Underbelly")</f>
        <v>D Underbelly</v>
      </c>
      <c r="B71" t="str">
        <f>IFERROR(__xludf.DUMMYFUNCTION("""COMPUTED_VALUE"""),"theatre, modern dance; varied disciplines")</f>
        <v>theatre, modern dance; varied disciplines</v>
      </c>
      <c r="C71" t="str">
        <f>IFERROR(__xludf.DUMMYFUNCTION("""COMPUTED_VALUE"""),"Brooklyn, New York")</f>
        <v>Brooklyn, New York</v>
      </c>
      <c r="D71" t="str">
        <f>IFERROR(__xludf.DUMMYFUNCTION("""COMPUTED_VALUE"""),"United States")</f>
        <v>United States</v>
      </c>
      <c r="E71" t="str">
        <f>IFERROR(__xludf.DUMMYFUNCTION("""COMPUTED_VALUE"""),"Curator Baraka de Soleil")</f>
        <v>Curator Baraka de Soleil</v>
      </c>
      <c r="F71" t="str">
        <f>IFERROR(__xludf.DUMMYFUNCTION("""COMPUTED_VALUE"""),"1997–present")</f>
        <v>1997–present</v>
      </c>
    </row>
    <row r="72">
      <c r="A72" t="str">
        <f>IFERROR(__xludf.DUMMYFUNCTION("""COMPUTED_VALUE"""),"Dance Alloy")</f>
        <v>Dance Alloy</v>
      </c>
      <c r="B72" t="str">
        <f>IFERROR(__xludf.DUMMYFUNCTION("""COMPUTED_VALUE"""),"modern")</f>
        <v>modern</v>
      </c>
      <c r="C72" t="str">
        <f>IFERROR(__xludf.DUMMYFUNCTION("""COMPUTED_VALUE"""),"Pittsburgh, Pennsylvania")</f>
        <v>Pittsburgh, Pennsylvania</v>
      </c>
      <c r="D72" t="str">
        <f>IFERROR(__xludf.DUMMYFUNCTION("""COMPUTED_VALUE"""),"United States")</f>
        <v>United States</v>
      </c>
      <c r="E72" t="str">
        <f>IFERROR(__xludf.DUMMYFUNCTION("""COMPUTED_VALUE"""),"AD Greer Reed-Jones")</f>
        <v>AD Greer Reed-Jones</v>
      </c>
      <c r="F72" t="str">
        <f>IFERROR(__xludf.DUMMYFUNCTION("""COMPUTED_VALUE"""),"1976–2012")</f>
        <v>1976–2012</v>
      </c>
    </row>
    <row r="73">
      <c r="A73" t="str">
        <f>IFERROR(__xludf.DUMMYFUNCTION("""COMPUTED_VALUE"""),"Dance Theatre of Harlem")</f>
        <v>Dance Theatre of Harlem</v>
      </c>
      <c r="B73" t="str">
        <f>IFERROR(__xludf.DUMMYFUNCTION("""COMPUTED_VALUE"""),"ballet")</f>
        <v>ballet</v>
      </c>
      <c r="C73" t="str">
        <f>IFERROR(__xludf.DUMMYFUNCTION("""COMPUTED_VALUE"""),"Harlem, New York City")</f>
        <v>Harlem, New York City</v>
      </c>
      <c r="D73" t="str">
        <f>IFERROR(__xludf.DUMMYFUNCTION("""COMPUTED_VALUE"""),"United States")</f>
        <v>United States</v>
      </c>
      <c r="E73" t="str">
        <f>IFERROR(__xludf.DUMMYFUNCTION("""COMPUTED_VALUE"""),"- Founders Arthur Mitchell &amp; Karel Shook
   - AD Arthur Mitchell")</f>
        <v>- Founders Arthur Mitchell &amp; Karel Shook
   - AD Arthur Mitchell</v>
      </c>
      <c r="F73" t="str">
        <f>IFERROR(__xludf.DUMMYFUNCTION("""COMPUTED_VALUE"""),"1971–present")</f>
        <v>1971–present</v>
      </c>
    </row>
    <row r="74">
      <c r="A74" t="str">
        <f>IFERROR(__xludf.DUMMYFUNCTION("""COMPUTED_VALUE"""),"Dancenorth (formerly North Queensland Ballet, dancenorth-Australia)")</f>
        <v>Dancenorth (formerly North Queensland Ballet, dancenorth-Australia)</v>
      </c>
      <c r="B74" t="str">
        <f>IFERROR(__xludf.DUMMYFUNCTION("""COMPUTED_VALUE"""),"contemporary")</f>
        <v>contemporary</v>
      </c>
      <c r="C74" t="str">
        <f>IFERROR(__xludf.DUMMYFUNCTION("""COMPUTED_VALUE"""),"Townsville,
North Queensland")</f>
        <v>Townsville,
North Queensland</v>
      </c>
      <c r="D74" t="str">
        <f>IFERROR(__xludf.DUMMYFUNCTION("""COMPUTED_VALUE"""),"Australia")</f>
        <v>Australia</v>
      </c>
      <c r="E74" t="str">
        <f>IFERROR(__xludf.DUMMYFUNCTION("""COMPUTED_VALUE"""),"- Founder Ann Roberts
   - AD Raewyn Hill")</f>
        <v>- Founder Ann Roberts
   - AD Raewyn Hill</v>
      </c>
      <c r="F74" t="str">
        <f>IFERROR(__xludf.DUMMYFUNCTION("""COMPUTED_VALUE"""),"1969–present")</f>
        <v>1969–present</v>
      </c>
    </row>
    <row r="75">
      <c r="A75" t="str">
        <f>IFERROR(__xludf.DUMMYFUNCTION("""COMPUTED_VALUE"""),"*Danza Contemporanea de Cuba*")</f>
        <v>*Danza Contemporanea de Cuba*</v>
      </c>
      <c r="B75" t="str">
        <f>IFERROR(__xludf.DUMMYFUNCTION("""COMPUTED_VALUE"""),"modern")</f>
        <v>modern</v>
      </c>
      <c r="C75" t="str">
        <f>IFERROR(__xludf.DUMMYFUNCTION("""COMPUTED_VALUE"""),"Havana")</f>
        <v>Havana</v>
      </c>
      <c r="D75" t="str">
        <f>IFERROR(__xludf.DUMMYFUNCTION("""COMPUTED_VALUE"""),"Cuba")</f>
        <v>Cuba</v>
      </c>
      <c r="E75" t="str">
        <f>IFERROR(__xludf.DUMMYFUNCTION("""COMPUTED_VALUE"""),"Founder Ramiro Guerra")</f>
        <v>Founder Ramiro Guerra</v>
      </c>
      <c r="F75" t="str">
        <f>IFERROR(__xludf.DUMMYFUNCTION("""COMPUTED_VALUE"""),"1959–present")</f>
        <v>1959–present</v>
      </c>
    </row>
    <row r="76">
      <c r="A76" t="str">
        <f>IFERROR(__xludf.DUMMYFUNCTION("""COMPUTED_VALUE"""),"Danza Voluminosa")</f>
        <v>Danza Voluminosa</v>
      </c>
      <c r="B76" t="str">
        <f>IFERROR(__xludf.DUMMYFUNCTION("""COMPUTED_VALUE"""),"modern, ballet")</f>
        <v>modern, ballet</v>
      </c>
      <c r="C76" t="str">
        <f>IFERROR(__xludf.DUMMYFUNCTION("""COMPUTED_VALUE"""),"Havana")</f>
        <v>Havana</v>
      </c>
      <c r="D76" t="str">
        <f>IFERROR(__xludf.DUMMYFUNCTION("""COMPUTED_VALUE"""),"Cuba")</f>
        <v>Cuba</v>
      </c>
      <c r="E76" t="str">
        <f>IFERROR(__xludf.DUMMYFUNCTION("""COMPUTED_VALUE"""),"Founder Juan Miguel Mas")</f>
        <v>Founder Juan Miguel Mas</v>
      </c>
      <c r="F76" t="str">
        <f>IFERROR(__xludf.DUMMYFUNCTION("""COMPUTED_VALUE"""),"1996–present")</f>
        <v>1996–present</v>
      </c>
    </row>
    <row r="77">
      <c r="A77" t="str">
        <f>IFERROR(__xludf.DUMMYFUNCTION("""COMPUTED_VALUE"""),"Darpana Academy of Performing Arts")</f>
        <v>Darpana Academy of Performing Arts</v>
      </c>
      <c r="B77" t="str">
        <f>IFERROR(__xludf.DUMMYFUNCTION("""COMPUTED_VALUE"""),"Classical Bharata Natyam and contemporary")</f>
        <v>Classical Bharata Natyam and contemporary</v>
      </c>
      <c r="C77" t="str">
        <f>IFERROR(__xludf.DUMMYFUNCTION("""COMPUTED_VALUE"""),"Ahmedabad")</f>
        <v>Ahmedabad</v>
      </c>
      <c r="D77" t="str">
        <f>IFERROR(__xludf.DUMMYFUNCTION("""COMPUTED_VALUE"""),"India")</f>
        <v>India</v>
      </c>
      <c r="E77" t="str">
        <f>IFERROR(__xludf.DUMMYFUNCTION("""COMPUTED_VALUE"""),"Founder Mrinalini and Vikram Sarabhai")</f>
        <v>Founder Mrinalini and Vikram Sarabhai</v>
      </c>
      <c r="F77" t="str">
        <f>IFERROR(__xludf.DUMMYFUNCTION("""COMPUTED_VALUE"""),"1949–Present")</f>
        <v>1949–Present</v>
      </c>
    </row>
    <row r="78">
      <c r="A78" t="str">
        <f>IFERROR(__xludf.DUMMYFUNCTION("""COMPUTED_VALUE"""),"DC Cowboys")</f>
        <v>DC Cowboys</v>
      </c>
      <c r="B78" t="str">
        <f>IFERROR(__xludf.DUMMYFUNCTION("""COMPUTED_VALUE"""),"various")</f>
        <v>various</v>
      </c>
      <c r="C78" t="str">
        <f>IFERROR(__xludf.DUMMYFUNCTION("""COMPUTED_VALUE"""),"Washington, DC")</f>
        <v>Washington, DC</v>
      </c>
      <c r="D78" t="str">
        <f>IFERROR(__xludf.DUMMYFUNCTION("""COMPUTED_VALUE"""),"United States")</f>
        <v>United States</v>
      </c>
      <c r="E78" t="str">
        <f>IFERROR(__xludf.DUMMYFUNCTION("""COMPUTED_VALUE"""),"Founder Kevin Platte")</f>
        <v>Founder Kevin Platte</v>
      </c>
      <c r="F78" t="str">
        <f>IFERROR(__xludf.DUMMYFUNCTION("""COMPUTED_VALUE"""),"1994-2012")</f>
        <v>1994-2012</v>
      </c>
    </row>
    <row r="79">
      <c r="A79" t="str">
        <f>IFERROR(__xludf.DUMMYFUNCTION("""COMPUTED_VALUE"""),"Dutch National Ballet")</f>
        <v>Dutch National Ballet</v>
      </c>
      <c r="B79" t="str">
        <f>IFERROR(__xludf.DUMMYFUNCTION("""COMPUTED_VALUE"""),"classical ballet and contemporary dance (about 50/50)")</f>
        <v>classical ballet and contemporary dance (about 50/50)</v>
      </c>
      <c r="C79" t="str">
        <f>IFERROR(__xludf.DUMMYFUNCTION("""COMPUTED_VALUE"""),"Amsterdam")</f>
        <v>Amsterdam</v>
      </c>
      <c r="D79" t="str">
        <f>IFERROR(__xludf.DUMMYFUNCTION("""COMPUTED_VALUE"""),"Netherlands")</f>
        <v>Netherlands</v>
      </c>
      <c r="E79" t="str">
        <f>IFERROR(__xludf.DUMMYFUNCTION("""COMPUTED_VALUE"""),"AD Ted Brandsen")</f>
        <v>AD Ted Brandsen</v>
      </c>
      <c r="F79" t="str">
        <f>IFERROR(__xludf.DUMMYFUNCTION("""COMPUTED_VALUE"""),"1961–present")</f>
        <v>1961–present</v>
      </c>
    </row>
    <row r="80">
      <c r="A80" t="str">
        <f>IFERROR(__xludf.DUMMYFUNCTION("""COMPUTED_VALUE"""),"DV8 Physical Theatre")</f>
        <v>DV8 Physical Theatre</v>
      </c>
      <c r="B80" t="str">
        <f>IFERROR(__xludf.DUMMYFUNCTION("""COMPUTED_VALUE"""),"contemporary dance with visual media")</f>
        <v>contemporary dance with visual media</v>
      </c>
      <c r="C80" t="str">
        <f>IFERROR(__xludf.DUMMYFUNCTION("""COMPUTED_VALUE"""),"London")</f>
        <v>London</v>
      </c>
      <c r="D80" t="str">
        <f>IFERROR(__xludf.DUMMYFUNCTION("""COMPUTED_VALUE"""),"England")</f>
        <v>England</v>
      </c>
      <c r="E80" t="str">
        <f>IFERROR(__xludf.DUMMYFUNCTION("""COMPUTED_VALUE"""),"AD Lloyd Newson")</f>
        <v>AD Lloyd Newson</v>
      </c>
      <c r="F80" t="str">
        <f>IFERROR(__xludf.DUMMYFUNCTION("""COMPUTED_VALUE"""),"1986–present")</f>
        <v>1986–present</v>
      </c>
    </row>
    <row r="81">
      <c r="A81" t="str">
        <f>IFERROR(__xludf.DUMMYFUNCTION("""COMPUTED_VALUE"""),"ECNAD Project Ltd")</f>
        <v>ECNAD Project Ltd</v>
      </c>
      <c r="B81" t="str">
        <f>IFERROR(__xludf.DUMMYFUNCTION("""COMPUTED_VALUE"""),"contemporary")</f>
        <v>contemporary</v>
      </c>
      <c r="C81" t="str">
        <f>IFERROR(__xludf.DUMMYFUNCTION("""COMPUTED_VALUE"""),"South East Asia")</f>
        <v>South East Asia</v>
      </c>
      <c r="D81" t="str">
        <f>IFERROR(__xludf.DUMMYFUNCTION("""COMPUTED_VALUE"""),"Singapore")</f>
        <v>Singapore</v>
      </c>
      <c r="E81" t="str">
        <f>IFERROR(__xludf.DUMMYFUNCTION("""COMPUTED_VALUE"""),"AD Lim Chin Huat &amp; Tan How Choon")</f>
        <v>AD Lim Chin Huat &amp; Tan How Choon</v>
      </c>
      <c r="F81" t="str">
        <f>IFERROR(__xludf.DUMMYFUNCTION("""COMPUTED_VALUE"""),"1996–present")</f>
        <v>1996–present</v>
      </c>
    </row>
    <row r="82">
      <c r="A82" t="str">
        <f>IFERROR(__xludf.DUMMYFUNCTION("""COMPUTED_VALUE"""),"Editta Braun Company")</f>
        <v>Editta Braun Company</v>
      </c>
      <c r="B82" t="str">
        <f>IFERROR(__xludf.DUMMYFUNCTION("""COMPUTED_VALUE"""),"body theatre")</f>
        <v>body theatre</v>
      </c>
      <c r="C82" t="str">
        <f>IFERROR(__xludf.DUMMYFUNCTION("""COMPUTED_VALUE"""),"Salzburg")</f>
        <v>Salzburg</v>
      </c>
      <c r="D82" t="str">
        <f>IFERROR(__xludf.DUMMYFUNCTION("""COMPUTED_VALUE"""),"Austria")</f>
        <v>Austria</v>
      </c>
      <c r="E82" t="str">
        <f>IFERROR(__xludf.DUMMYFUNCTION("""COMPUTED_VALUE"""),"Founder Editta Braun")</f>
        <v>Founder Editta Braun</v>
      </c>
      <c r="F82" t="str">
        <f>IFERROR(__xludf.DUMMYFUNCTION("""COMPUTED_VALUE"""),"1989–present")</f>
        <v>1989–present</v>
      </c>
    </row>
    <row r="83">
      <c r="A83" t="str">
        <f>IFERROR(__xludf.DUMMYFUNCTION("""COMPUTED_VALUE"""),"Eifman Ballet")</f>
        <v>Eifman Ballet</v>
      </c>
      <c r="B83" t="str">
        <f>IFERROR(__xludf.DUMMYFUNCTION("""COMPUTED_VALUE"""),"contemporary ballet")</f>
        <v>contemporary ballet</v>
      </c>
      <c r="C83" t="str">
        <f>IFERROR(__xludf.DUMMYFUNCTION("""COMPUTED_VALUE"""),"Saint Petersburg")</f>
        <v>Saint Petersburg</v>
      </c>
      <c r="D83" t="str">
        <f>IFERROR(__xludf.DUMMYFUNCTION("""COMPUTED_VALUE"""),"Russia")</f>
        <v>Russia</v>
      </c>
      <c r="E83" t="str">
        <f>IFERROR(__xludf.DUMMYFUNCTION("""COMPUTED_VALUE"""),"Founder Boris Eifman")</f>
        <v>Founder Boris Eifman</v>
      </c>
      <c r="F83" t="str">
        <f>IFERROR(__xludf.DUMMYFUNCTION("""COMPUTED_VALUE"""),"1977–present")</f>
        <v>1977–present</v>
      </c>
    </row>
    <row r="84">
      <c r="A84" t="str">
        <f>IFERROR(__xludf.DUMMYFUNCTION("""COMPUTED_VALUE"""),"English National Ballet")</f>
        <v>English National Ballet</v>
      </c>
      <c r="B84" t="str">
        <f>IFERROR(__xludf.DUMMYFUNCTION("""COMPUTED_VALUE"""),"ballet")</f>
        <v>ballet</v>
      </c>
      <c r="C84" t="str">
        <f>IFERROR(__xludf.DUMMYFUNCTION("""COMPUTED_VALUE"""),"London")</f>
        <v>London</v>
      </c>
      <c r="D84" t="str">
        <f>IFERROR(__xludf.DUMMYFUNCTION("""COMPUTED_VALUE"""),"England")</f>
        <v>England</v>
      </c>
      <c r="E84" t="str">
        <f>IFERROR(__xludf.DUMMYFUNCTION("""COMPUTED_VALUE"""),"- Founders Anton Dolin &amp; Dame Alicia Markova
   - AD Tamara Rojo")</f>
        <v>- Founders Anton Dolin &amp; Dame Alicia Markova
   - AD Tamara Rojo</v>
      </c>
      <c r="F84" t="str">
        <f>IFERROR(__xludf.DUMMYFUNCTION("""COMPUTED_VALUE"""),"1955–present")</f>
        <v>1955–present</v>
      </c>
    </row>
    <row r="85">
      <c r="A85" t="str">
        <f>IFERROR(__xludf.DUMMYFUNCTION("""COMPUTED_VALUE"""),"Eryc Taylor Dance")</f>
        <v>Eryc Taylor Dance</v>
      </c>
      <c r="B85" t="str">
        <f>IFERROR(__xludf.DUMMYFUNCTION("""COMPUTED_VALUE"""),"modern")</f>
        <v>modern</v>
      </c>
      <c r="C85" t="str">
        <f>IFERROR(__xludf.DUMMYFUNCTION("""COMPUTED_VALUE"""),"New York City")</f>
        <v>New York City</v>
      </c>
      <c r="D85" t="str">
        <f>IFERROR(__xludf.DUMMYFUNCTION("""COMPUTED_VALUE"""),"United States")</f>
        <v>United States</v>
      </c>
      <c r="E85" t="str">
        <f>IFERROR(__xludf.DUMMYFUNCTION("""COMPUTED_VALUE"""),"Founder Eryc Taylor")</f>
        <v>Founder Eryc Taylor</v>
      </c>
      <c r="F85" t="str">
        <f>IFERROR(__xludf.DUMMYFUNCTION("""COMPUTED_VALUE"""),"2007–present")</f>
        <v>2007–present</v>
      </c>
    </row>
    <row r="86">
      <c r="A86" t="str">
        <f>IFERROR(__xludf.DUMMYFUNCTION("""COMPUTED_VALUE"""),"Eugene Ballet")</f>
        <v>Eugene Ballet</v>
      </c>
      <c r="B86" t="str">
        <f>IFERROR(__xludf.DUMMYFUNCTION("""COMPUTED_VALUE"""),"ballet")</f>
        <v>ballet</v>
      </c>
      <c r="C86" t="str">
        <f>IFERROR(__xludf.DUMMYFUNCTION("""COMPUTED_VALUE"""),"Eugene, Oregon")</f>
        <v>Eugene, Oregon</v>
      </c>
      <c r="D86" t="str">
        <f>IFERROR(__xludf.DUMMYFUNCTION("""COMPUTED_VALUE"""),"United States")</f>
        <v>United States</v>
      </c>
      <c r="E86" t="str">
        <f>IFERROR(__xludf.DUMMYFUNCTION("""COMPUTED_VALUE"""),"AD Toni Pimble")</f>
        <v>AD Toni Pimble</v>
      </c>
      <c r="F86" t="str">
        <f>IFERROR(__xludf.DUMMYFUNCTION("""COMPUTED_VALUE"""),"1978–present")</f>
        <v>1978–present</v>
      </c>
    </row>
    <row r="87">
      <c r="A87" t="str">
        <f>IFERROR(__xludf.DUMMYFUNCTION("""COMPUTED_VALUE"""),"Fire of Anatolia")</f>
        <v>Fire of Anatolia</v>
      </c>
      <c r="B87" t="str">
        <f>IFERROR(__xludf.DUMMYFUNCTION("""COMPUTED_VALUE"""),"modern dance &amp; ballet")</f>
        <v>modern dance &amp; ballet</v>
      </c>
      <c r="C87" t="str">
        <f>IFERROR(__xludf.DUMMYFUNCTION("""COMPUTED_VALUE"""),"Istanbul")</f>
        <v>Istanbul</v>
      </c>
      <c r="D87" t="str">
        <f>IFERROR(__xludf.DUMMYFUNCTION("""COMPUTED_VALUE"""),"Turkey")</f>
        <v>Turkey</v>
      </c>
      <c r="E87" t="str">
        <f>IFERROR(__xludf.DUMMYFUNCTION("""COMPUTED_VALUE"""),"Founder &amp; AD Mustafa Erdoğan")</f>
        <v>Founder &amp; AD Mustafa Erdoğan</v>
      </c>
      <c r="F87" t="str">
        <f>IFERROR(__xludf.DUMMYFUNCTION("""COMPUTED_VALUE"""),"1999–present")</f>
        <v>1999–present</v>
      </c>
    </row>
    <row r="88">
      <c r="A88" t="str">
        <f>IFERROR(__xludf.DUMMYFUNCTION("""COMPUTED_VALUE"""),"Folsom Lake Civic Ballet")</f>
        <v>Folsom Lake Civic Ballet</v>
      </c>
      <c r="B88" t="str">
        <f>IFERROR(__xludf.DUMMYFUNCTION("""COMPUTED_VALUE"""),"ballet")</f>
        <v>ballet</v>
      </c>
      <c r="C88" t="str">
        <f>IFERROR(__xludf.DUMMYFUNCTION("""COMPUTED_VALUE"""),"Folsom, California")</f>
        <v>Folsom, California</v>
      </c>
      <c r="D88" t="str">
        <f>IFERROR(__xludf.DUMMYFUNCTION("""COMPUTED_VALUE"""),"United States")</f>
        <v>United States</v>
      </c>
      <c r="E88" t="str">
        <f>IFERROR(__xludf.DUMMYFUNCTION("""COMPUTED_VALUE"""),"AD Deirdre Hawkins")</f>
        <v>AD Deirdre Hawkins</v>
      </c>
      <c r="F88" t="str">
        <f>IFERROR(__xludf.DUMMYFUNCTION("""COMPUTED_VALUE"""),"")</f>
        <v/>
      </c>
    </row>
    <row r="89">
      <c r="A89" t="str">
        <f>IFERROR(__xludf.DUMMYFUNCTION("""COMPUTED_VALUE"""),"The Forsythe Company")</f>
        <v>The Forsythe Company</v>
      </c>
      <c r="B89" t="str">
        <f>IFERROR(__xludf.DUMMYFUNCTION("""COMPUTED_VALUE"""),"modern ballet")</f>
        <v>modern ballet</v>
      </c>
      <c r="C89" t="str">
        <f>IFERROR(__xludf.DUMMYFUNCTION("""COMPUTED_VALUE"""),"Dresden")</f>
        <v>Dresden</v>
      </c>
      <c r="D89" t="str">
        <f>IFERROR(__xludf.DUMMYFUNCTION("""COMPUTED_VALUE"""),"Germany")</f>
        <v>Germany</v>
      </c>
      <c r="E89" t="str">
        <f>IFERROR(__xludf.DUMMYFUNCTION("""COMPUTED_VALUE"""),"AD William Forsythe")</f>
        <v>AD William Forsythe</v>
      </c>
      <c r="F89" t="str">
        <f>IFERROR(__xludf.DUMMYFUNCTION("""COMPUTED_VALUE"""),"2005–present")</f>
        <v>2005–present</v>
      </c>
    </row>
    <row r="90">
      <c r="A90" t="str">
        <f>IFERROR(__xludf.DUMMYFUNCTION("""COMPUTED_VALUE"""),"Full Radius Dance")</f>
        <v>Full Radius Dance</v>
      </c>
      <c r="B90" t="str">
        <f>IFERROR(__xludf.DUMMYFUNCTION("""COMPUTED_VALUE"""),"modern, physically integrated")</f>
        <v>modern, physically integrated</v>
      </c>
      <c r="C90" t="str">
        <f>IFERROR(__xludf.DUMMYFUNCTION("""COMPUTED_VALUE"""),"Atlanta")</f>
        <v>Atlanta</v>
      </c>
      <c r="D90" t="str">
        <f>IFERROR(__xludf.DUMMYFUNCTION("""COMPUTED_VALUE"""),"United States")</f>
        <v>United States</v>
      </c>
      <c r="E90" t="str">
        <f>IFERROR(__xludf.DUMMYFUNCTION("""COMPUTED_VALUE"""),"Founder &amp; AD Douglas Scott")</f>
        <v>Founder &amp; AD Douglas Scott</v>
      </c>
      <c r="F90" t="str">
        <f>IFERROR(__xludf.DUMMYFUNCTION("""COMPUTED_VALUE"""),"1995–present")</f>
        <v>1995–present</v>
      </c>
    </row>
    <row r="91">
      <c r="A91" t="str">
        <f>IFERROR(__xludf.DUMMYFUNCTION("""COMPUTED_VALUE"""),"Gallimaufry Performing Arts")</f>
        <v>Gallimaufry Performing Arts</v>
      </c>
      <c r="B91" t="str">
        <f>IFERROR(__xludf.DUMMYFUNCTION("""COMPUTED_VALUE"""),"contemporary and classic")</f>
        <v>contemporary and classic</v>
      </c>
      <c r="C91" t="str">
        <f>IFERROR(__xludf.DUMMYFUNCTION("""COMPUTED_VALUE"""),"Laguna Beach, California")</f>
        <v>Laguna Beach, California</v>
      </c>
      <c r="D91" t="str">
        <f>IFERROR(__xludf.DUMMYFUNCTION("""COMPUTED_VALUE"""),"United States")</f>
        <v>United States</v>
      </c>
      <c r="E91" t="str">
        <f>IFERROR(__xludf.DUMMYFUNCTION("""COMPUTED_VALUE"""),"Founder Steve Josephson")</f>
        <v>Founder Steve Josephson</v>
      </c>
      <c r="F91" t="str">
        <f>IFERROR(__xludf.DUMMYFUNCTION("""COMPUTED_VALUE"""),"2004–present")</f>
        <v>2004–present</v>
      </c>
    </row>
    <row r="92">
      <c r="A92" t="str">
        <f>IFERROR(__xludf.DUMMYFUNCTION("""COMPUTED_VALUE"""),"Garth Fagan Dance")</f>
        <v>Garth Fagan Dance</v>
      </c>
      <c r="B92" t="str">
        <f>IFERROR(__xludf.DUMMYFUNCTION("""COMPUTED_VALUE"""),"contemporary modern")</f>
        <v>contemporary modern</v>
      </c>
      <c r="C92" t="str">
        <f>IFERROR(__xludf.DUMMYFUNCTION("""COMPUTED_VALUE"""),"Rochester, New York")</f>
        <v>Rochester, New York</v>
      </c>
      <c r="D92" t="str">
        <f>IFERROR(__xludf.DUMMYFUNCTION("""COMPUTED_VALUE"""),"United States")</f>
        <v>United States</v>
      </c>
      <c r="E92" t="str">
        <f>IFERROR(__xludf.DUMMYFUNCTION("""COMPUTED_VALUE"""),"Founder Garth Fagan")</f>
        <v>Founder Garth Fagan</v>
      </c>
      <c r="F92" t="str">
        <f>IFERROR(__xludf.DUMMYFUNCTION("""COMPUTED_VALUE"""),"1970–present")</f>
        <v>1970–present</v>
      </c>
    </row>
    <row r="93">
      <c r="A93" t="str">
        <f>IFERROR(__xludf.DUMMYFUNCTION("""COMPUTED_VALUE"""),"Gary Palmer Dance Company")</f>
        <v>Gary Palmer Dance Company</v>
      </c>
      <c r="B93" t="str">
        <f>IFERROR(__xludf.DUMMYFUNCTION("""COMPUTED_VALUE"""),"contemporary modern")</f>
        <v>contemporary modern</v>
      </c>
      <c r="C93" t="str">
        <f>IFERROR(__xludf.DUMMYFUNCTION("""COMPUTED_VALUE"""),"San Francisco (1977–91), San Jose (1991-98)")</f>
        <v>San Francisco (1977–91), San Jose (1991-98)</v>
      </c>
      <c r="D93" t="str">
        <f>IFERROR(__xludf.DUMMYFUNCTION("""COMPUTED_VALUE"""),"United States")</f>
        <v>United States</v>
      </c>
      <c r="E93" t="str">
        <f>IFERROR(__xludf.DUMMYFUNCTION("""COMPUTED_VALUE"""),"Founder Gary Palmer")</f>
        <v>Founder Gary Palmer</v>
      </c>
      <c r="F93" t="str">
        <f>IFERROR(__xludf.DUMMYFUNCTION("""COMPUTED_VALUE"""),"1977–98")</f>
        <v>1977–98</v>
      </c>
    </row>
    <row r="94">
      <c r="A94" t="str">
        <f>IFERROR(__xludf.DUMMYFUNCTION("""COMPUTED_VALUE"""),"Grupo Corpo")</f>
        <v>Grupo Corpo</v>
      </c>
      <c r="B94" t="str">
        <f>IFERROR(__xludf.DUMMYFUNCTION("""COMPUTED_VALUE"""),"modern dance")</f>
        <v>modern dance</v>
      </c>
      <c r="C94" t="str">
        <f>IFERROR(__xludf.DUMMYFUNCTION("""COMPUTED_VALUE"""),"Belo Horizonte, Minas Gerais")</f>
        <v>Belo Horizonte, Minas Gerais</v>
      </c>
      <c r="D94" t="str">
        <f>IFERROR(__xludf.DUMMYFUNCTION("""COMPUTED_VALUE"""),"Brazil")</f>
        <v>Brazil</v>
      </c>
      <c r="E94" t="str">
        <f>IFERROR(__xludf.DUMMYFUNCTION("""COMPUTED_VALUE"""),"Paulo Pederneiras")</f>
        <v>Paulo Pederneiras</v>
      </c>
      <c r="F94" t="str">
        <f>IFERROR(__xludf.DUMMYFUNCTION("""COMPUTED_VALUE"""),"1975–present")</f>
        <v>1975–present</v>
      </c>
    </row>
    <row r="95">
      <c r="A95" t="str">
        <f>IFERROR(__xludf.DUMMYFUNCTION("""COMPUTED_VALUE"""),"Les Gens du quai")</f>
        <v>Les Gens du quai</v>
      </c>
      <c r="B95" t="str">
        <f>IFERROR(__xludf.DUMMYFUNCTION("""COMPUTED_VALUE"""),"contemporary")</f>
        <v>contemporary</v>
      </c>
      <c r="C95" t="str">
        <f>IFERROR(__xludf.DUMMYFUNCTION("""COMPUTED_VALUE"""),"Montpellier")</f>
        <v>Montpellier</v>
      </c>
      <c r="D95" t="str">
        <f>IFERROR(__xludf.DUMMYFUNCTION("""COMPUTED_VALUE"""),"France")</f>
        <v>France</v>
      </c>
      <c r="E95" t="str">
        <f>IFERROR(__xludf.DUMMYFUNCTION("""COMPUTED_VALUE"""),"Founders Anne &amp; François Lopez")</f>
        <v>Founders Anne &amp; François Lopez</v>
      </c>
      <c r="F95" t="str">
        <f>IFERROR(__xludf.DUMMYFUNCTION("""COMPUTED_VALUE"""),"1993–present")</f>
        <v>1993–present</v>
      </c>
    </row>
    <row r="96">
      <c r="A96" t="str">
        <f>IFERROR(__xludf.DUMMYFUNCTION("""COMPUTED_VALUE"""),"Giordano Dance Chicago")</f>
        <v>Giordano Dance Chicago</v>
      </c>
      <c r="B96" t="str">
        <f>IFERROR(__xludf.DUMMYFUNCTION("""COMPUTED_VALUE"""),"jazz")</f>
        <v>jazz</v>
      </c>
      <c r="C96" t="str">
        <f>IFERROR(__xludf.DUMMYFUNCTION("""COMPUTED_VALUE"""),"Chicago, Illinois")</f>
        <v>Chicago, Illinois</v>
      </c>
      <c r="D96" t="str">
        <f>IFERROR(__xludf.DUMMYFUNCTION("""COMPUTED_VALUE"""),"United States")</f>
        <v>United States</v>
      </c>
      <c r="E96" t="str">
        <f>IFERROR(__xludf.DUMMYFUNCTION("""COMPUTED_VALUE"""),"- Founder Gus Giordano
   - AD Nan Giordano
   - Executive Director Michael McStraw")</f>
        <v>- Founder Gus Giordano
   - AD Nan Giordano
   - Executive Director Michael McStraw</v>
      </c>
      <c r="F96" t="str">
        <f>IFERROR(__xludf.DUMMYFUNCTION("""COMPUTED_VALUE"""),"1963–present")</f>
        <v>1963–present</v>
      </c>
    </row>
    <row r="97">
      <c r="A97" t="str">
        <f>IFERROR(__xludf.DUMMYFUNCTION("""COMPUTED_VALUE"""),"Les Grands Ballets Canadiens")</f>
        <v>Les Grands Ballets Canadiens</v>
      </c>
      <c r="B97" t="str">
        <f>IFERROR(__xludf.DUMMYFUNCTION("""COMPUTED_VALUE"""),"ballet")</f>
        <v>ballet</v>
      </c>
      <c r="C97" t="str">
        <f>IFERROR(__xludf.DUMMYFUNCTION("""COMPUTED_VALUE"""),"Montreal, Quebec")</f>
        <v>Montreal, Quebec</v>
      </c>
      <c r="D97" t="str">
        <f>IFERROR(__xludf.DUMMYFUNCTION("""COMPUTED_VALUE"""),"Canada")</f>
        <v>Canada</v>
      </c>
      <c r="E97" t="str">
        <f>IFERROR(__xludf.DUMMYFUNCTION("""COMPUTED_VALUE"""),"- Founder Ludmilla Chiriaeff
   - AD Gradimir Pankov")</f>
        <v>- Founder Ludmilla Chiriaeff
   - AD Gradimir Pankov</v>
      </c>
      <c r="F97" t="str">
        <f>IFERROR(__xludf.DUMMYFUNCTION("""COMPUTED_VALUE"""),"1957–present")</f>
        <v>1957–present</v>
      </c>
    </row>
    <row r="98">
      <c r="A98" t="str">
        <f>IFERROR(__xludf.DUMMYFUNCTION("""COMPUTED_VALUE"""),"Goldwyn Girls")</f>
        <v>Goldwyn Girls</v>
      </c>
      <c r="B98" t="str">
        <f>IFERROR(__xludf.DUMMYFUNCTION("""COMPUTED_VALUE"""),"film musical dance")</f>
        <v>film musical dance</v>
      </c>
      <c r="C98" t="str">
        <f>IFERROR(__xludf.DUMMYFUNCTION("""COMPUTED_VALUE"""),"Hollywood, California")</f>
        <v>Hollywood, California</v>
      </c>
      <c r="D98" t="str">
        <f>IFERROR(__xludf.DUMMYFUNCTION("""COMPUTED_VALUE"""),"United States")</f>
        <v>United States</v>
      </c>
      <c r="E98" t="str">
        <f>IFERROR(__xludf.DUMMYFUNCTION("""COMPUTED_VALUE"""),"Founder Samuel Goldwyn")</f>
        <v>Founder Samuel Goldwyn</v>
      </c>
      <c r="F98" t="str">
        <f>IFERROR(__xludf.DUMMYFUNCTION("""COMPUTED_VALUE"""),"1930s–1950s")</f>
        <v>1930s–1950s</v>
      </c>
    </row>
    <row r="99">
      <c r="A99" t="str">
        <f>IFERROR(__xludf.DUMMYFUNCTION("""COMPUTED_VALUE"""),"Hamburg Ballet")</f>
        <v>Hamburg Ballet</v>
      </c>
      <c r="B99" t="str">
        <f>IFERROR(__xludf.DUMMYFUNCTION("""COMPUTED_VALUE"""),"ballet")</f>
        <v>ballet</v>
      </c>
      <c r="C99" t="str">
        <f>IFERROR(__xludf.DUMMYFUNCTION("""COMPUTED_VALUE"""),"Hamburg")</f>
        <v>Hamburg</v>
      </c>
      <c r="D99" t="str">
        <f>IFERROR(__xludf.DUMMYFUNCTION("""COMPUTED_VALUE"""),"Germany")</f>
        <v>Germany</v>
      </c>
      <c r="E99" t="str">
        <f>IFERROR(__xludf.DUMMYFUNCTION("""COMPUTED_VALUE"""),"Founder &amp; AD John Neumeier")</f>
        <v>Founder &amp; AD John Neumeier</v>
      </c>
      <c r="F99" t="str">
        <f>IFERROR(__xludf.DUMMYFUNCTION("""COMPUTED_VALUE"""),"1973–present")</f>
        <v>1973–present</v>
      </c>
    </row>
    <row r="100">
      <c r="A100" t="str">
        <f>IFERROR(__xludf.DUMMYFUNCTION("""COMPUTED_VALUE"""),"Hot Shots")</f>
        <v>Hot Shots</v>
      </c>
      <c r="B100" t="str">
        <f>IFERROR(__xludf.DUMMYFUNCTION("""COMPUTED_VALUE"""),"swing")</f>
        <v>swing</v>
      </c>
      <c r="C100" t="str">
        <f>IFERROR(__xludf.DUMMYFUNCTION("""COMPUTED_VALUE"""),"Stockholm")</f>
        <v>Stockholm</v>
      </c>
      <c r="D100" t="str">
        <f>IFERROR(__xludf.DUMMYFUNCTION("""COMPUTED_VALUE"""),"Sweden")</f>
        <v>Sweden</v>
      </c>
      <c r="E100" t="str">
        <f>IFERROR(__xludf.DUMMYFUNCTION("""COMPUTED_VALUE"""),"Founders Anders Lind &amp; others")</f>
        <v>Founders Anders Lind &amp; others</v>
      </c>
      <c r="F100" t="str">
        <f>IFERROR(__xludf.DUMMYFUNCTION("""COMPUTED_VALUE"""),"1985–present")</f>
        <v>1985–present</v>
      </c>
    </row>
    <row r="101">
      <c r="A101" t="str">
        <f>IFERROR(__xludf.DUMMYFUNCTION("""COMPUTED_VALUE"""),"Heidi Duckler Dance Theatre (formerly Collage Dance Theatre)")</f>
        <v>Heidi Duckler Dance Theatre (formerly Collage Dance Theatre)</v>
      </c>
      <c r="B101" t="str">
        <f>IFERROR(__xludf.DUMMYFUNCTION("""COMPUTED_VALUE"""),"site-specific modern")</f>
        <v>site-specific modern</v>
      </c>
      <c r="C101" t="str">
        <f>IFERROR(__xludf.DUMMYFUNCTION("""COMPUTED_VALUE"""),"Los Angeles")</f>
        <v>Los Angeles</v>
      </c>
      <c r="D101" t="str">
        <f>IFERROR(__xludf.DUMMYFUNCTION("""COMPUTED_VALUE"""),"United States")</f>
        <v>United States</v>
      </c>
      <c r="E101" t="str">
        <f>IFERROR(__xludf.DUMMYFUNCTION("""COMPUTED_VALUE"""),"Founder Heidi Duckler")</f>
        <v>Founder Heidi Duckler</v>
      </c>
      <c r="F101" t="str">
        <f>IFERROR(__xludf.DUMMYFUNCTION("""COMPUTED_VALUE"""),"1985–present")</f>
        <v>1985–present</v>
      </c>
    </row>
    <row r="102">
      <c r="A102" t="str">
        <f>IFERROR(__xludf.DUMMYFUNCTION("""COMPUTED_VALUE"""),"Houston Ballet")</f>
        <v>Houston Ballet</v>
      </c>
      <c r="B102" t="str">
        <f>IFERROR(__xludf.DUMMYFUNCTION("""COMPUTED_VALUE"""),"ballet")</f>
        <v>ballet</v>
      </c>
      <c r="C102" t="str">
        <f>IFERROR(__xludf.DUMMYFUNCTION("""COMPUTED_VALUE"""),"Houston, Texas")</f>
        <v>Houston, Texas</v>
      </c>
      <c r="D102" t="str">
        <f>IFERROR(__xludf.DUMMYFUNCTION("""COMPUTED_VALUE"""),"United States")</f>
        <v>United States</v>
      </c>
      <c r="E102" t="str">
        <f>IFERROR(__xludf.DUMMYFUNCTION("""COMPUTED_VALUE"""),"- Founder Nina Popova
   - AD Stanton Welch")</f>
        <v>- Founder Nina Popova
   - AD Stanton Welch</v>
      </c>
      <c r="F102" t="str">
        <f>IFERROR(__xludf.DUMMYFUNCTION("""COMPUTED_VALUE"""),"1969–present")</f>
        <v>1969–present</v>
      </c>
    </row>
    <row r="103">
      <c r="A103" t="str">
        <f>IFERROR(__xludf.DUMMYFUNCTION("""COMPUTED_VALUE"""),"Houston Metropolitan Dance Company")</f>
        <v>Houston Metropolitan Dance Company</v>
      </c>
      <c r="B103" t="str">
        <f>IFERROR(__xludf.DUMMYFUNCTION("""COMPUTED_VALUE"""),"contemporary, jazz")</f>
        <v>contemporary, jazz</v>
      </c>
      <c r="C103" t="str">
        <f>IFERROR(__xludf.DUMMYFUNCTION("""COMPUTED_VALUE"""),"Houston, Texas")</f>
        <v>Houston, Texas</v>
      </c>
      <c r="D103" t="str">
        <f>IFERROR(__xludf.DUMMYFUNCTION("""COMPUTED_VALUE"""),"United States")</f>
        <v>United States</v>
      </c>
      <c r="E103" t="str">
        <f>IFERROR(__xludf.DUMMYFUNCTION("""COMPUTED_VALUE"""),"- Founder Michelle Smith
   - AD Marlana Doyle")</f>
        <v>- Founder Michelle Smith
   - AD Marlana Doyle</v>
      </c>
      <c r="F103" t="str">
        <f>IFERROR(__xludf.DUMMYFUNCTION("""COMPUTED_VALUE"""),"1995–present")</f>
        <v>1995–present</v>
      </c>
    </row>
    <row r="104">
      <c r="A104" t="str">
        <f>IFERROR(__xludf.DUMMYFUNCTION("""COMPUTED_VALUE"""),"Hubbard Street Dance Chicago")</f>
        <v>Hubbard Street Dance Chicago</v>
      </c>
      <c r="B104" t="str">
        <f>IFERROR(__xludf.DUMMYFUNCTION("""COMPUTED_VALUE"""),"contemporary")</f>
        <v>contemporary</v>
      </c>
      <c r="C104" t="str">
        <f>IFERROR(__xludf.DUMMYFUNCTION("""COMPUTED_VALUE"""),"Chicago, Illinois")</f>
        <v>Chicago, Illinois</v>
      </c>
      <c r="D104" t="str">
        <f>IFERROR(__xludf.DUMMYFUNCTION("""COMPUTED_VALUE"""),"United States")</f>
        <v>United States</v>
      </c>
      <c r="E104" t="str">
        <f>IFERROR(__xludf.DUMMYFUNCTION("""COMPUTED_VALUE"""),"- Founder Lou Conte
   - AD Glenn Edgerton")</f>
        <v>- Founder Lou Conte
   - AD Glenn Edgerton</v>
      </c>
      <c r="F104" t="str">
        <f>IFERROR(__xludf.DUMMYFUNCTION("""COMPUTED_VALUE"""),"1977–present")</f>
        <v>1977–present</v>
      </c>
    </row>
    <row r="105">
      <c r="A105" t="str">
        <f>IFERROR(__xludf.DUMMYFUNCTION("""COMPUTED_VALUE"""),"Ice Theatre of New York")</f>
        <v>Ice Theatre of New York</v>
      </c>
      <c r="B105" t="str">
        <f>IFERROR(__xludf.DUMMYFUNCTION("""COMPUTED_VALUE"""),"modern dance on ice")</f>
        <v>modern dance on ice</v>
      </c>
      <c r="C105" t="str">
        <f>IFERROR(__xludf.DUMMYFUNCTION("""COMPUTED_VALUE"""),"New York City")</f>
        <v>New York City</v>
      </c>
      <c r="D105" t="str">
        <f>IFERROR(__xludf.DUMMYFUNCTION("""COMPUTED_VALUE"""),"United States")</f>
        <v>United States</v>
      </c>
      <c r="E105" t="str">
        <f>IFERROR(__xludf.DUMMYFUNCTION("""COMPUTED_VALUE"""),"- Founder Moira North
   - Co-AD David Liu")</f>
        <v>- Founder Moira North
   - Co-AD David Liu</v>
      </c>
      <c r="F105" t="str">
        <f>IFERROR(__xludf.DUMMYFUNCTION("""COMPUTED_VALUE"""),"1984–present")</f>
        <v>1984–present</v>
      </c>
    </row>
    <row r="106">
      <c r="A106" t="str">
        <f>IFERROR(__xludf.DUMMYFUNCTION("""COMPUTED_VALUE"""),"James Sewell Ballet")</f>
        <v>James Sewell Ballet</v>
      </c>
      <c r="B106" t="str">
        <f>IFERROR(__xludf.DUMMYFUNCTION("""COMPUTED_VALUE"""),"ballet")</f>
        <v>ballet</v>
      </c>
      <c r="C106" t="str">
        <f>IFERROR(__xludf.DUMMYFUNCTION("""COMPUTED_VALUE"""),"Minneapolis, Minnesota")</f>
        <v>Minneapolis, Minnesota</v>
      </c>
      <c r="D106" t="str">
        <f>IFERROR(__xludf.DUMMYFUNCTION("""COMPUTED_VALUE"""),"United States")</f>
        <v>United States</v>
      </c>
      <c r="E106" t="str">
        <f>IFERROR(__xludf.DUMMYFUNCTION("""COMPUTED_VALUE"""),"Founders James Sewell &amp; Sally Rousse")</f>
        <v>Founders James Sewell &amp; Sally Rousse</v>
      </c>
      <c r="F106" t="str">
        <f>IFERROR(__xludf.DUMMYFUNCTION("""COMPUTED_VALUE"""),"1990–present")</f>
        <v>1990–present</v>
      </c>
    </row>
    <row r="107">
      <c r="A107" t="str">
        <f>IFERROR(__xludf.DUMMYFUNCTION("""COMPUTED_VALUE"""),"The Jefferson Dancers")</f>
        <v>The Jefferson Dancers</v>
      </c>
      <c r="B107" t="str">
        <f>IFERROR(__xludf.DUMMYFUNCTION("""COMPUTED_VALUE"""),"various")</f>
        <v>various</v>
      </c>
      <c r="C107" t="str">
        <f>IFERROR(__xludf.DUMMYFUNCTION("""COMPUTED_VALUE"""),"Portland, Oregon")</f>
        <v>Portland, Oregon</v>
      </c>
      <c r="D107" t="str">
        <f>IFERROR(__xludf.DUMMYFUNCTION("""COMPUTED_VALUE"""),"United States")</f>
        <v>United States</v>
      </c>
      <c r="E107" t="str">
        <f>IFERROR(__xludf.DUMMYFUNCTION("""COMPUTED_VALUE"""),"- Founder Mary Vinton Folberg
   - AD Steve Gonzales")</f>
        <v>- Founder Mary Vinton Folberg
   - AD Steve Gonzales</v>
      </c>
      <c r="F107" t="str">
        <f>IFERROR(__xludf.DUMMYFUNCTION("""COMPUTED_VALUE"""),"early 1980s–present")</f>
        <v>early 1980s–present</v>
      </c>
    </row>
    <row r="108">
      <c r="A108" t="str">
        <f>IFERROR(__xludf.DUMMYFUNCTION("""COMPUTED_VALUE"""),"Joffrey Ballet")</f>
        <v>Joffrey Ballet</v>
      </c>
      <c r="B108" t="str">
        <f>IFERROR(__xludf.DUMMYFUNCTION("""COMPUTED_VALUE"""),"ballet")</f>
        <v>ballet</v>
      </c>
      <c r="C108" t="str">
        <f>IFERROR(__xludf.DUMMYFUNCTION("""COMPUTED_VALUE"""),"Chicago, Illinois")</f>
        <v>Chicago, Illinois</v>
      </c>
      <c r="D108" t="str">
        <f>IFERROR(__xludf.DUMMYFUNCTION("""COMPUTED_VALUE"""),"United States")</f>
        <v>United States</v>
      </c>
      <c r="E108" t="str">
        <f>IFERROR(__xludf.DUMMYFUNCTION("""COMPUTED_VALUE"""),"Founders Robert Joffrey &amp; Gerald Arpino")</f>
        <v>Founders Robert Joffrey &amp; Gerald Arpino</v>
      </c>
      <c r="F108" t="str">
        <f>IFERROR(__xludf.DUMMYFUNCTION("""COMPUTED_VALUE"""),"1965–present")</f>
        <v>1965–present</v>
      </c>
    </row>
    <row r="109">
      <c r="A109" t="str">
        <f>IFERROR(__xludf.DUMMYFUNCTION("""COMPUTED_VALUE"""),"Judson Dance Theater")</f>
        <v>Judson Dance Theater</v>
      </c>
      <c r="B109" t="str">
        <f>IFERROR(__xludf.DUMMYFUNCTION("""COMPUTED_VALUE"""),"postmodern dance")</f>
        <v>postmodern dance</v>
      </c>
      <c r="C109" t="str">
        <f>IFERROR(__xludf.DUMMYFUNCTION("""COMPUTED_VALUE"""),"New York City")</f>
        <v>New York City</v>
      </c>
      <c r="D109" t="str">
        <f>IFERROR(__xludf.DUMMYFUNCTION("""COMPUTED_VALUE"""),"United States")</f>
        <v>United States</v>
      </c>
      <c r="E109" t="str">
        <f>IFERROR(__xludf.DUMMYFUNCTION("""COMPUTED_VALUE"""),"Founder Robert Ellis Dunn")</f>
        <v>Founder Robert Ellis Dunn</v>
      </c>
      <c r="F109" t="str">
        <f>IFERROR(__xludf.DUMMYFUNCTION("""COMPUTED_VALUE"""),"1962–1964")</f>
        <v>1962–1964</v>
      </c>
    </row>
    <row r="110">
      <c r="A110" t="str">
        <f>IFERROR(__xludf.DUMMYFUNCTION("""COMPUTED_VALUE"""),"Junk Ensemble")</f>
        <v>Junk Ensemble</v>
      </c>
      <c r="B110" t="str">
        <f>IFERROR(__xludf.DUMMYFUNCTION("""COMPUTED_VALUE"""),"Dance theater")</f>
        <v>Dance theater</v>
      </c>
      <c r="C110" t="str">
        <f>IFERROR(__xludf.DUMMYFUNCTION("""COMPUTED_VALUE"""),"Dublin")</f>
        <v>Dublin</v>
      </c>
      <c r="D110" t="str">
        <f>IFERROR(__xludf.DUMMYFUNCTION("""COMPUTED_VALUE"""),"Republic of Ireland")</f>
        <v>Republic of Ireland</v>
      </c>
      <c r="E110" t="str">
        <f>IFERROR(__xludf.DUMMYFUNCTION("""COMPUTED_VALUE"""),"Founders Megan and Jessica Kennedy")</f>
        <v>Founders Megan and Jessica Kennedy</v>
      </c>
      <c r="F110" t="str">
        <f>IFERROR(__xludf.DUMMYFUNCTION("""COMPUTED_VALUE"""),"2004–present")</f>
        <v>2004–present</v>
      </c>
    </row>
    <row r="111">
      <c r="A111" t="str">
        <f>IFERROR(__xludf.DUMMYFUNCTION("""COMPUTED_VALUE"""),"K-ballet")</f>
        <v>K-ballet</v>
      </c>
      <c r="B111" t="str">
        <f>IFERROR(__xludf.DUMMYFUNCTION("""COMPUTED_VALUE"""),"ballet")</f>
        <v>ballet</v>
      </c>
      <c r="C111" t="str">
        <f>IFERROR(__xludf.DUMMYFUNCTION("""COMPUTED_VALUE"""),"Tokyo")</f>
        <v>Tokyo</v>
      </c>
      <c r="D111" t="str">
        <f>IFERROR(__xludf.DUMMYFUNCTION("""COMPUTED_VALUE"""),"Japan")</f>
        <v>Japan</v>
      </c>
      <c r="E111" t="str">
        <f>IFERROR(__xludf.DUMMYFUNCTION("""COMPUTED_VALUE"""),"AD Tetsuya Kumakawa")</f>
        <v>AD Tetsuya Kumakawa</v>
      </c>
      <c r="F111" t="str">
        <f>IFERROR(__xludf.DUMMYFUNCTION("""COMPUTED_VALUE"""),"1999–present")</f>
        <v>1999–present</v>
      </c>
    </row>
    <row r="112">
      <c r="A112" t="str">
        <f>IFERROR(__xludf.DUMMYFUNCTION("""COMPUTED_VALUE"""),"Kage Physical Theatre")</f>
        <v>Kage Physical Theatre</v>
      </c>
      <c r="B112" t="str">
        <f>IFERROR(__xludf.DUMMYFUNCTION("""COMPUTED_VALUE"""),"physical theatre")</f>
        <v>physical theatre</v>
      </c>
      <c r="C112" t="str">
        <f>IFERROR(__xludf.DUMMYFUNCTION("""COMPUTED_VALUE"""),"Melbourne")</f>
        <v>Melbourne</v>
      </c>
      <c r="D112" t="str">
        <f>IFERROR(__xludf.DUMMYFUNCTION("""COMPUTED_VALUE"""),"Australia")</f>
        <v>Australia</v>
      </c>
      <c r="E112" t="str">
        <f>IFERROR(__xludf.DUMMYFUNCTION("""COMPUTED_VALUE"""),"Founders Kate Denborough &amp; Gerard van Dyck")</f>
        <v>Founders Kate Denborough &amp; Gerard van Dyck</v>
      </c>
      <c r="F112" t="str">
        <f>IFERROR(__xludf.DUMMYFUNCTION("""COMPUTED_VALUE"""),"1996–present")</f>
        <v>1996–present</v>
      </c>
    </row>
    <row r="113">
      <c r="A113" t="str">
        <f>IFERROR(__xludf.DUMMYFUNCTION("""COMPUTED_VALUE"""),"Kambras")</f>
        <v>Kambras</v>
      </c>
      <c r="B113" t="str">
        <f>IFERROR(__xludf.DUMMYFUNCTION("""COMPUTED_VALUE"""),"tango Tanztheater")</f>
        <v>tango Tanztheater</v>
      </c>
      <c r="C113" t="str">
        <f>IFERROR(__xludf.DUMMYFUNCTION("""COMPUTED_VALUE"""),"Buenos Aires")</f>
        <v>Buenos Aires</v>
      </c>
      <c r="D113" t="str">
        <f>IFERROR(__xludf.DUMMYFUNCTION("""COMPUTED_VALUE"""),"Argentina Germany")</f>
        <v>Argentina Germany</v>
      </c>
      <c r="E113" t="str">
        <f>IFERROR(__xludf.DUMMYFUNCTION("""COMPUTED_VALUE"""),"Founders Gonzalo Orihuela, Julián Rodriguez Orihuela &amp; Solange Chapperon")</f>
        <v>Founders Gonzalo Orihuela, Julián Rodriguez Orihuela &amp; Solange Chapperon</v>
      </c>
      <c r="F113" t="str">
        <f>IFERROR(__xludf.DUMMYFUNCTION("""COMPUTED_VALUE"""),"2005–present")</f>
        <v>2005–present</v>
      </c>
    </row>
    <row r="114">
      <c r="A114" t="str">
        <f>IFERROR(__xludf.DUMMYFUNCTION("""COMPUTED_VALUE"""),"Katherine Dunham Company")</f>
        <v>Katherine Dunham Company</v>
      </c>
      <c r="B114" t="str">
        <f>IFERROR(__xludf.DUMMYFUNCTION("""COMPUTED_VALUE"""),"African American modern dance")</f>
        <v>African American modern dance</v>
      </c>
      <c r="C114" t="str">
        <f>IFERROR(__xludf.DUMMYFUNCTION("""COMPUTED_VALUE"""),"")</f>
        <v/>
      </c>
      <c r="D114" t="str">
        <f>IFERROR(__xludf.DUMMYFUNCTION("""COMPUTED_VALUE"""),"United States")</f>
        <v>United States</v>
      </c>
      <c r="E114" t="str">
        <f>IFERROR(__xludf.DUMMYFUNCTION("""COMPUTED_VALUE"""),"Founder Katherine Dunham")</f>
        <v>Founder Katherine Dunham</v>
      </c>
      <c r="F114" t="str">
        <f>IFERROR(__xludf.DUMMYFUNCTION("""COMPUTED_VALUE"""),"1939–1960")</f>
        <v>1939–1960</v>
      </c>
    </row>
    <row r="115">
      <c r="A115" t="str">
        <f>IFERROR(__xludf.DUMMYFUNCTION("""COMPUTED_VALUE"""),"Kansas City Ballet")</f>
        <v>Kansas City Ballet</v>
      </c>
      <c r="B115" t="str">
        <f>IFERROR(__xludf.DUMMYFUNCTION("""COMPUTED_VALUE"""),"ballet")</f>
        <v>ballet</v>
      </c>
      <c r="C115" t="str">
        <f>IFERROR(__xludf.DUMMYFUNCTION("""COMPUTED_VALUE"""),"Kansas")</f>
        <v>Kansas</v>
      </c>
      <c r="D115" t="str">
        <f>IFERROR(__xludf.DUMMYFUNCTION("""COMPUTED_VALUE"""),"United States")</f>
        <v>United States</v>
      </c>
      <c r="E115" t="str">
        <f>IFERROR(__xludf.DUMMYFUNCTION("""COMPUTED_VALUE"""),"AD William Whitener")</f>
        <v>AD William Whitener</v>
      </c>
      <c r="F115" t="str">
        <f>IFERROR(__xludf.DUMMYFUNCTION("""COMPUTED_VALUE"""),"early 1957–present")</f>
        <v>early 1957–present</v>
      </c>
    </row>
    <row r="116">
      <c r="A116" t="str">
        <f>IFERROR(__xludf.DUMMYFUNCTION("""COMPUTED_VALUE"""),"Kaunas Dance Theatre Aura")</f>
        <v>Kaunas Dance Theatre Aura</v>
      </c>
      <c r="B116" t="str">
        <f>IFERROR(__xludf.DUMMYFUNCTION("""COMPUTED_VALUE"""),"modern")</f>
        <v>modern</v>
      </c>
      <c r="C116" t="str">
        <f>IFERROR(__xludf.DUMMYFUNCTION("""COMPUTED_VALUE"""),"Kaunas")</f>
        <v>Kaunas</v>
      </c>
      <c r="D116" t="str">
        <f>IFERROR(__xludf.DUMMYFUNCTION("""COMPUTED_VALUE"""),"Lithuania")</f>
        <v>Lithuania</v>
      </c>
      <c r="E116" t="str">
        <f>IFERROR(__xludf.DUMMYFUNCTION("""COMPUTED_VALUE"""),"Founder Birutė Letukaitė")</f>
        <v>Founder Birutė Letukaitė</v>
      </c>
      <c r="F116" t="str">
        <f>IFERROR(__xludf.DUMMYFUNCTION("""COMPUTED_VALUE"""),"early 1980s–present")</f>
        <v>early 1980s–present</v>
      </c>
    </row>
    <row r="117">
      <c r="A117" t="str">
        <f>IFERROR(__xludf.DUMMYFUNCTION("""COMPUTED_VALUE"""),"Kibbutz Contemporary Dance Company")</f>
        <v>Kibbutz Contemporary Dance Company</v>
      </c>
      <c r="B117" t="str">
        <f>IFERROR(__xludf.DUMMYFUNCTION("""COMPUTED_VALUE"""),"Contemporary")</f>
        <v>Contemporary</v>
      </c>
      <c r="C117" t="str">
        <f>IFERROR(__xludf.DUMMYFUNCTION("""COMPUTED_VALUE"""),"Ga'aton")</f>
        <v>Ga'aton</v>
      </c>
      <c r="D117" t="str">
        <f>IFERROR(__xludf.DUMMYFUNCTION("""COMPUTED_VALUE"""),"Israel")</f>
        <v>Israel</v>
      </c>
      <c r="E117" t="str">
        <f>IFERROR(__xludf.DUMMYFUNCTION("""COMPUTED_VALUE"""),"Founder Yehudit Arnon, Artistic Director Rami Be’er")</f>
        <v>Founder Yehudit Arnon, Artistic Director Rami Be’er</v>
      </c>
      <c r="F117" t="str">
        <f>IFERROR(__xludf.DUMMYFUNCTION("""COMPUTED_VALUE"""),"1970–present")</f>
        <v>1970–present</v>
      </c>
    </row>
    <row r="118">
      <c r="A118" t="str">
        <f>IFERROR(__xludf.DUMMYFUNCTION("""COMPUTED_VALUE"""),"La Cebra Danza Gay")</f>
        <v>La Cebra Danza Gay</v>
      </c>
      <c r="B118" t="str">
        <f>IFERROR(__xludf.DUMMYFUNCTION("""COMPUTED_VALUE"""),"")</f>
        <v/>
      </c>
      <c r="C118" t="str">
        <f>IFERROR(__xludf.DUMMYFUNCTION("""COMPUTED_VALUE"""),"Mexico City")</f>
        <v>Mexico City</v>
      </c>
      <c r="D118" t="str">
        <f>IFERROR(__xludf.DUMMYFUNCTION("""COMPUTED_VALUE"""),"Mexico")</f>
        <v>Mexico</v>
      </c>
      <c r="E118" t="str">
        <f>IFERROR(__xludf.DUMMYFUNCTION("""COMPUTED_VALUE"""),"José Rivera Moya")</f>
        <v>José Rivera Moya</v>
      </c>
      <c r="F118" t="str">
        <f>IFERROR(__xludf.DUMMYFUNCTION("""COMPUTED_VALUE"""),"1996–present")</f>
        <v>1996–present</v>
      </c>
    </row>
    <row r="119">
      <c r="A119" t="str">
        <f>IFERROR(__xludf.DUMMYFUNCTION("""COMPUTED_VALUE"""),"La La La Human Steps")</f>
        <v>La La La Human Steps</v>
      </c>
      <c r="B119" t="str">
        <f>IFERROR(__xludf.DUMMYFUNCTION("""COMPUTED_VALUE"""),"contemporary")</f>
        <v>contemporary</v>
      </c>
      <c r="C119" t="str">
        <f>IFERROR(__xludf.DUMMYFUNCTION("""COMPUTED_VALUE"""),"Montreal, Quebec")</f>
        <v>Montreal, Quebec</v>
      </c>
      <c r="D119" t="str">
        <f>IFERROR(__xludf.DUMMYFUNCTION("""COMPUTED_VALUE"""),"Canada")</f>
        <v>Canada</v>
      </c>
      <c r="E119" t="str">
        <f>IFERROR(__xludf.DUMMYFUNCTION("""COMPUTED_VALUE"""),"Founder Édouard Lock")</f>
        <v>Founder Édouard Lock</v>
      </c>
      <c r="F119" t="str">
        <f>IFERROR(__xludf.DUMMYFUNCTION("""COMPUTED_VALUE"""),"1980–present")</f>
        <v>1980–present</v>
      </c>
    </row>
    <row r="120">
      <c r="A120" t="str">
        <f>IFERROR(__xludf.DUMMYFUNCTION("""COMPUTED_VALUE"""),"Laleget Danza")</f>
        <v>Laleget Danza</v>
      </c>
      <c r="B120" t="str">
        <f>IFERROR(__xludf.DUMMYFUNCTION("""COMPUTED_VALUE"""),"")</f>
        <v/>
      </c>
      <c r="C120" t="str">
        <f>IFERROR(__xludf.DUMMYFUNCTION("""COMPUTED_VALUE"""),"Mexico City")</f>
        <v>Mexico City</v>
      </c>
      <c r="D120" t="str">
        <f>IFERROR(__xludf.DUMMYFUNCTION("""COMPUTED_VALUE"""),"Mexico")</f>
        <v>Mexico</v>
      </c>
      <c r="E120" t="str">
        <f>IFERROR(__xludf.DUMMYFUNCTION("""COMPUTED_VALUE"""),"Diego Vázquez")</f>
        <v>Diego Vázquez</v>
      </c>
      <c r="F120" t="str">
        <f>IFERROR(__xludf.DUMMYFUNCTION("""COMPUTED_VALUE"""),"2005–present")</f>
        <v>2005–present</v>
      </c>
    </row>
    <row r="121">
      <c r="A121" t="str">
        <f>IFERROR(__xludf.DUMMYFUNCTION("""COMPUTED_VALUE"""),"Lar Lubovitch Dance Company")</f>
        <v>Lar Lubovitch Dance Company</v>
      </c>
      <c r="B121" t="str">
        <f>IFERROR(__xludf.DUMMYFUNCTION("""COMPUTED_VALUE"""),"modern")</f>
        <v>modern</v>
      </c>
      <c r="C121" t="str">
        <f>IFERROR(__xludf.DUMMYFUNCTION("""COMPUTED_VALUE"""),"New York City")</f>
        <v>New York City</v>
      </c>
      <c r="D121" t="str">
        <f>IFERROR(__xludf.DUMMYFUNCTION("""COMPUTED_VALUE"""),"United States")</f>
        <v>United States</v>
      </c>
      <c r="E121" t="str">
        <f>IFERROR(__xludf.DUMMYFUNCTION("""COMPUTED_VALUE"""),"Founder Lar Lubovitch")</f>
        <v>Founder Lar Lubovitch</v>
      </c>
      <c r="F121" t="str">
        <f>IFERROR(__xludf.DUMMYFUNCTION("""COMPUTED_VALUE"""),"1968–present")</f>
        <v>1968–present</v>
      </c>
    </row>
    <row r="122">
      <c r="A122" t="str">
        <f>IFERROR(__xludf.DUMMYFUNCTION("""COMPUTED_VALUE"""),"Leigh Warren &amp; Dancers")</f>
        <v>Leigh Warren &amp; Dancers</v>
      </c>
      <c r="B122" t="str">
        <f>IFERROR(__xludf.DUMMYFUNCTION("""COMPUTED_VALUE"""),"contemporary")</f>
        <v>contemporary</v>
      </c>
      <c r="C122" t="str">
        <f>IFERROR(__xludf.DUMMYFUNCTION("""COMPUTED_VALUE"""),"Adelaide")</f>
        <v>Adelaide</v>
      </c>
      <c r="D122" t="str">
        <f>IFERROR(__xludf.DUMMYFUNCTION("""COMPUTED_VALUE"""),"Australia")</f>
        <v>Australia</v>
      </c>
      <c r="E122" t="str">
        <f>IFERROR(__xludf.DUMMYFUNCTION("""COMPUTED_VALUE"""),"Founder Leigh Warren")</f>
        <v>Founder Leigh Warren</v>
      </c>
      <c r="F122" t="str">
        <f>IFERROR(__xludf.DUMMYFUNCTION("""COMPUTED_VALUE"""),"1993–present")</f>
        <v>1993–present</v>
      </c>
    </row>
    <row r="123">
      <c r="A123" t="str">
        <f>IFERROR(__xludf.DUMMYFUNCTION("""COMPUTED_VALUE"""),"Light Motion Dance Company")</f>
        <v>Light Motion Dance Company</v>
      </c>
      <c r="B123" t="str">
        <f>IFERROR(__xludf.DUMMYFUNCTION("""COMPUTED_VALUE"""),"experimental")</f>
        <v>experimental</v>
      </c>
      <c r="C123" t="str">
        <f>IFERROR(__xludf.DUMMYFUNCTION("""COMPUTED_VALUE"""),"Seattle")</f>
        <v>Seattle</v>
      </c>
      <c r="D123" t="str">
        <f>IFERROR(__xludf.DUMMYFUNCTION("""COMPUTED_VALUE"""),"United States")</f>
        <v>United States</v>
      </c>
      <c r="E123" t="str">
        <f>IFERROR(__xludf.DUMMYFUNCTION("""COMPUTED_VALUE"""),"Founder Charlene Curtiss")</f>
        <v>Founder Charlene Curtiss</v>
      </c>
      <c r="F123" t="str">
        <f>IFERROR(__xludf.DUMMYFUNCTION("""COMPUTED_VALUE"""),"1988–present")</f>
        <v>1988–present</v>
      </c>
    </row>
    <row r="124">
      <c r="A124" t="str">
        <f>IFERROR(__xludf.DUMMYFUNCTION("""COMPUTED_VALUE"""),"Live Action Set")</f>
        <v>Live Action Set</v>
      </c>
      <c r="B124" t="str">
        <f>IFERROR(__xludf.DUMMYFUNCTION("""COMPUTED_VALUE"""),"experimental")</f>
        <v>experimental</v>
      </c>
      <c r="C124" t="str">
        <f>IFERROR(__xludf.DUMMYFUNCTION("""COMPUTED_VALUE"""),"Minneapolis, Minnesota")</f>
        <v>Minneapolis, Minnesota</v>
      </c>
      <c r="D124" t="str">
        <f>IFERROR(__xludf.DUMMYFUNCTION("""COMPUTED_VALUE"""),"United States")</f>
        <v>United States</v>
      </c>
      <c r="E124" t="str">
        <f>IFERROR(__xludf.DUMMYFUNCTION("""COMPUTED_VALUE"""),"Founders Noah Bremer &amp; others")</f>
        <v>Founders Noah Bremer &amp; others</v>
      </c>
      <c r="F124" t="str">
        <f>IFERROR(__xludf.DUMMYFUNCTION("""COMPUTED_VALUE"""),"2003–present")</f>
        <v>2003–present</v>
      </c>
    </row>
    <row r="125">
      <c r="A125" t="str">
        <f>IFERROR(__xludf.DUMMYFUNCTION("""COMPUTED_VALUE"""),"Louise Bédard Danse")</f>
        <v>Louise Bédard Danse</v>
      </c>
      <c r="B125" t="str">
        <f>IFERROR(__xludf.DUMMYFUNCTION("""COMPUTED_VALUE"""),"contemporary")</f>
        <v>contemporary</v>
      </c>
      <c r="C125" t="str">
        <f>IFERROR(__xludf.DUMMYFUNCTION("""COMPUTED_VALUE"""),"Montreal, Quebec")</f>
        <v>Montreal, Quebec</v>
      </c>
      <c r="D125" t="str">
        <f>IFERROR(__xludf.DUMMYFUNCTION("""COMPUTED_VALUE"""),"Canada")</f>
        <v>Canada</v>
      </c>
      <c r="E125" t="str">
        <f>IFERROR(__xludf.DUMMYFUNCTION("""COMPUTED_VALUE"""),"Founder Louise Bédard")</f>
        <v>Founder Louise Bédard</v>
      </c>
      <c r="F125" t="str">
        <f>IFERROR(__xludf.DUMMYFUNCTION("""COMPUTED_VALUE"""),"1990–present")</f>
        <v>1990–present</v>
      </c>
    </row>
    <row r="126">
      <c r="A126" t="str">
        <f>IFERROR(__xludf.DUMMYFUNCTION("""COMPUTED_VALUE"""),"Lydia Johnson Dance")</f>
        <v>Lydia Johnson Dance</v>
      </c>
      <c r="B126" t="str">
        <f>IFERROR(__xludf.DUMMYFUNCTION("""COMPUTED_VALUE"""),"modern dance &amp; ballet")</f>
        <v>modern dance &amp; ballet</v>
      </c>
      <c r="C126" t="str">
        <f>IFERROR(__xludf.DUMMYFUNCTION("""COMPUTED_VALUE"""),"South Orange, New Jersey")</f>
        <v>South Orange, New Jersey</v>
      </c>
      <c r="D126" t="str">
        <f>IFERROR(__xludf.DUMMYFUNCTION("""COMPUTED_VALUE"""),"United States")</f>
        <v>United States</v>
      </c>
      <c r="E126" t="str">
        <f>IFERROR(__xludf.DUMMYFUNCTION("""COMPUTED_VALUE"""),"Founder Lydia Johnson")</f>
        <v>Founder Lydia Johnson</v>
      </c>
      <c r="F126" t="str">
        <f>IFERROR(__xludf.DUMMYFUNCTION("""COMPUTED_VALUE"""),"1999–present")</f>
        <v>1999–present</v>
      </c>
    </row>
    <row r="127">
      <c r="A127" t="str">
        <f>IFERROR(__xludf.DUMMYFUNCTION("""COMPUTED_VALUE"""),"Lyon Opera Ballet (*Ballet de l'Opéra de Lyon*)")</f>
        <v>Lyon Opera Ballet (*Ballet de l'Opéra de Lyon*)</v>
      </c>
      <c r="B127" t="str">
        <f>IFERROR(__xludf.DUMMYFUNCTION("""COMPUTED_VALUE"""),"ballet")</f>
        <v>ballet</v>
      </c>
      <c r="C127" t="str">
        <f>IFERROR(__xludf.DUMMYFUNCTION("""COMPUTED_VALUE"""),"Lyon")</f>
        <v>Lyon</v>
      </c>
      <c r="D127" t="str">
        <f>IFERROR(__xludf.DUMMYFUNCTION("""COMPUTED_VALUE"""),"France")</f>
        <v>France</v>
      </c>
      <c r="E127" t="str">
        <f>IFERROR(__xludf.DUMMYFUNCTION("""COMPUTED_VALUE"""),"AD Yorgos Loukos")</f>
        <v>AD Yorgos Loukos</v>
      </c>
      <c r="F127" t="str">
        <f>IFERROR(__xludf.DUMMYFUNCTION("""COMPUTED_VALUE"""),"1969–present")</f>
        <v>1969–present</v>
      </c>
    </row>
    <row r="128">
      <c r="A128" t="str">
        <f>IFERROR(__xludf.DUMMYFUNCTION("""COMPUTED_VALUE"""),"Mariinsky Ballet
prev. Kirov Ballet and Imperial Russian Ballet")</f>
        <v>Mariinsky Ballet
prev. Kirov Ballet and Imperial Russian Ballet</v>
      </c>
      <c r="B128" t="str">
        <f>IFERROR(__xludf.DUMMYFUNCTION("""COMPUTED_VALUE"""),"classical ballet")</f>
        <v>classical ballet</v>
      </c>
      <c r="C128" t="str">
        <f>IFERROR(__xludf.DUMMYFUNCTION("""COMPUTED_VALUE"""),"Saint Petersburg (Mariinsky Theatre)")</f>
        <v>Saint Petersburg (Mariinsky Theatre)</v>
      </c>
      <c r="D128" t="str">
        <f>IFERROR(__xludf.DUMMYFUNCTION("""COMPUTED_VALUE"""),"Russia")</f>
        <v>Russia</v>
      </c>
      <c r="E128" t="str">
        <f>IFERROR(__xludf.DUMMYFUNCTION("""COMPUTED_VALUE"""),"AD Valery Gergiev")</f>
        <v>AD Valery Gergiev</v>
      </c>
      <c r="F128" t="str">
        <f>IFERROR(__xludf.DUMMYFUNCTION("""COMPUTED_VALUE"""),"1740s–present")</f>
        <v>1740s–present</v>
      </c>
    </row>
    <row r="129">
      <c r="A129" t="str">
        <f>IFERROR(__xludf.DUMMYFUNCTION("""COMPUTED_VALUE"""),"Marion Rice Denishawn Dancers")</f>
        <v>Marion Rice Denishawn Dancers</v>
      </c>
      <c r="B129" t="str">
        <f>IFERROR(__xludf.DUMMYFUNCTION("""COMPUTED_VALUE"""),"modern")</f>
        <v>modern</v>
      </c>
      <c r="C129" t="str">
        <f>IFERROR(__xludf.DUMMYFUNCTION("""COMPUTED_VALUE"""),"Fitchburg, Massachusetts")</f>
        <v>Fitchburg, Massachusetts</v>
      </c>
      <c r="D129" t="str">
        <f>IFERROR(__xludf.DUMMYFUNCTION("""COMPUTED_VALUE"""),"United States")</f>
        <v>United States</v>
      </c>
      <c r="E129" t="str">
        <f>IFERROR(__xludf.DUMMYFUNCTION("""COMPUTED_VALUE"""),"Founder Marion Rice")</f>
        <v>Founder Marion Rice</v>
      </c>
      <c r="F129" t="str">
        <f>IFERROR(__xludf.DUMMYFUNCTION("""COMPUTED_VALUE"""),"1940s")</f>
        <v>1940s</v>
      </c>
    </row>
    <row r="130">
      <c r="A130" t="str">
        <f>IFERROR(__xludf.DUMMYFUNCTION("""COMPUTED_VALUE"""),"Mendocino Ballet")</f>
        <v>Mendocino Ballet</v>
      </c>
      <c r="B130" t="str">
        <f>IFERROR(__xludf.DUMMYFUNCTION("""COMPUTED_VALUE"""),"ballet")</f>
        <v>ballet</v>
      </c>
      <c r="C130" t="str">
        <f>IFERROR(__xludf.DUMMYFUNCTION("""COMPUTED_VALUE"""),"Mendocino County, California")</f>
        <v>Mendocino County, California</v>
      </c>
      <c r="D130" t="str">
        <f>IFERROR(__xludf.DUMMYFUNCTION("""COMPUTED_VALUE"""),"United States")</f>
        <v>United States</v>
      </c>
      <c r="E130" t="str">
        <f>IFERROR(__xludf.DUMMYFUNCTION("""COMPUTED_VALUE"""),"Founder Mary Knight Morris")</f>
        <v>Founder Mary Knight Morris</v>
      </c>
      <c r="F130" t="str">
        <f>IFERROR(__xludf.DUMMYFUNCTION("""COMPUTED_VALUE"""),"1984–present")</f>
        <v>1984–present</v>
      </c>
    </row>
    <row r="131">
      <c r="A131" t="str">
        <f>IFERROR(__xludf.DUMMYFUNCTION("""COMPUTED_VALUE"""),"Mark Morris Dance Group")</f>
        <v>Mark Morris Dance Group</v>
      </c>
      <c r="B131" t="str">
        <f>IFERROR(__xludf.DUMMYFUNCTION("""COMPUTED_VALUE"""),"modern")</f>
        <v>modern</v>
      </c>
      <c r="C131" t="str">
        <f>IFERROR(__xludf.DUMMYFUNCTION("""COMPUTED_VALUE"""),"Brooklyn, New York")</f>
        <v>Brooklyn, New York</v>
      </c>
      <c r="D131" t="str">
        <f>IFERROR(__xludf.DUMMYFUNCTION("""COMPUTED_VALUE"""),"United States")</f>
        <v>United States</v>
      </c>
      <c r="E131" t="str">
        <f>IFERROR(__xludf.DUMMYFUNCTION("""COMPUTED_VALUE"""),"Founder Mark Morris")</f>
        <v>Founder Mark Morris</v>
      </c>
      <c r="F131" t="str">
        <f>IFERROR(__xludf.DUMMYFUNCTION("""COMPUTED_VALUE"""),"1980–present")</f>
        <v>1980–present</v>
      </c>
    </row>
    <row r="132">
      <c r="A132" t="str">
        <f>IFERROR(__xludf.DUMMYFUNCTION("""COMPUTED_VALUE"""),"Merce Cunningham Dance Company")</f>
        <v>Merce Cunningham Dance Company</v>
      </c>
      <c r="B132" t="str">
        <f>IFERROR(__xludf.DUMMYFUNCTION("""COMPUTED_VALUE"""),"modern")</f>
        <v>modern</v>
      </c>
      <c r="C132" t="str">
        <f>IFERROR(__xludf.DUMMYFUNCTION("""COMPUTED_VALUE"""),"New York City")</f>
        <v>New York City</v>
      </c>
      <c r="D132" t="str">
        <f>IFERROR(__xludf.DUMMYFUNCTION("""COMPUTED_VALUE"""),"United States")</f>
        <v>United States</v>
      </c>
      <c r="E132" t="str">
        <f>IFERROR(__xludf.DUMMYFUNCTION("""COMPUTED_VALUE"""),"- Founder Merce Cunningham
   - AD Robert Swinston")</f>
        <v>- Founder Merce Cunningham
   - AD Robert Swinston</v>
      </c>
      <c r="F132" t="str">
        <f>IFERROR(__xludf.DUMMYFUNCTION("""COMPUTED_VALUE"""),"1953–Dec. 31, 2011")</f>
        <v>1953–Dec. 31, 2011</v>
      </c>
    </row>
    <row r="133">
      <c r="A133" t="str">
        <f>IFERROR(__xludf.DUMMYFUNCTION("""COMPUTED_VALUE"""),"MIHR")</f>
        <v>MIHR</v>
      </c>
      <c r="B133" t="str">
        <f>IFERROR(__xludf.DUMMYFUNCTION("""COMPUTED_VALUE"""),"contemporary")</f>
        <v>contemporary</v>
      </c>
      <c r="C133" t="str">
        <f>IFERROR(__xludf.DUMMYFUNCTION("""COMPUTED_VALUE"""),"Yerevan")</f>
        <v>Yerevan</v>
      </c>
      <c r="D133" t="str">
        <f>IFERROR(__xludf.DUMMYFUNCTION("""COMPUTED_VALUE"""),"Armenia")</f>
        <v>Armenia</v>
      </c>
      <c r="E133" t="str">
        <f>IFERROR(__xludf.DUMMYFUNCTION("""COMPUTED_VALUE"""),"Founders Shoghakat &amp; Tsolak MLKE-Galstyans")</f>
        <v>Founders Shoghakat &amp; Tsolak MLKE-Galstyans</v>
      </c>
      <c r="F133" t="str">
        <f>IFERROR(__xludf.DUMMYFUNCTION("""COMPUTED_VALUE"""),"2003–present")</f>
        <v>2003–present</v>
      </c>
    </row>
    <row r="134">
      <c r="A134" t="str">
        <f>IFERROR(__xludf.DUMMYFUNCTION("""COMPUTED_VALUE"""),"Miami City Ballet")</f>
        <v>Miami City Ballet</v>
      </c>
      <c r="B134" t="str">
        <f>IFERROR(__xludf.DUMMYFUNCTION("""COMPUTED_VALUE"""),"ballet")</f>
        <v>ballet</v>
      </c>
      <c r="C134" t="str">
        <f>IFERROR(__xludf.DUMMYFUNCTION("""COMPUTED_VALUE"""),"Miami, Florida")</f>
        <v>Miami, Florida</v>
      </c>
      <c r="D134" t="str">
        <f>IFERROR(__xludf.DUMMYFUNCTION("""COMPUTED_VALUE"""),"United States")</f>
        <v>United States</v>
      </c>
      <c r="E134" t="str">
        <f>IFERROR(__xludf.DUMMYFUNCTION("""COMPUTED_VALUE"""),"- Founder Edward Villella
   - AD Lourdes Lopez")</f>
        <v>- Founder Edward Villella
   - AD Lourdes Lopez</v>
      </c>
      <c r="F134" t="str">
        <f>IFERROR(__xludf.DUMMYFUNCTION("""COMPUTED_VALUE"""),"1986–present")</f>
        <v>1986–present</v>
      </c>
    </row>
    <row r="135">
      <c r="A135" t="str">
        <f>IFERROR(__xludf.DUMMYFUNCTION("""COMPUTED_VALUE"""),"Milwaukee Ballet")</f>
        <v>Milwaukee Ballet</v>
      </c>
      <c r="B135" t="str">
        <f>IFERROR(__xludf.DUMMYFUNCTION("""COMPUTED_VALUE"""),"ballet")</f>
        <v>ballet</v>
      </c>
      <c r="C135" t="str">
        <f>IFERROR(__xludf.DUMMYFUNCTION("""COMPUTED_VALUE"""),"Milwaukee, Wisconsin")</f>
        <v>Milwaukee, Wisconsin</v>
      </c>
      <c r="D135" t="str">
        <f>IFERROR(__xludf.DUMMYFUNCTION("""COMPUTED_VALUE"""),"United States")</f>
        <v>United States</v>
      </c>
      <c r="E135" t="str">
        <f>IFERROR(__xludf.DUMMYFUNCTION("""COMPUTED_VALUE"""),"- Founder Roberta Boorse
   - AD Michael Pink")</f>
        <v>- Founder Roberta Boorse
   - AD Michael Pink</v>
      </c>
      <c r="F135" t="str">
        <f>IFERROR(__xludf.DUMMYFUNCTION("""COMPUTED_VALUE"""),"1969–present")</f>
        <v>1969–present</v>
      </c>
    </row>
    <row r="136">
      <c r="A136" t="str">
        <f>IFERROR(__xludf.DUMMYFUNCTION("""COMPUTED_VALUE"""),"Misnomer dance theater")</f>
        <v>Misnomer dance theater</v>
      </c>
      <c r="B136" t="str">
        <f>IFERROR(__xludf.DUMMYFUNCTION("""COMPUTED_VALUE"""),"modern dance")</f>
        <v>modern dance</v>
      </c>
      <c r="C136" t="str">
        <f>IFERROR(__xludf.DUMMYFUNCTION("""COMPUTED_VALUE"""),"Brooklyn, New York")</f>
        <v>Brooklyn, New York</v>
      </c>
      <c r="D136" t="str">
        <f>IFERROR(__xludf.DUMMYFUNCTION("""COMPUTED_VALUE"""),"United States")</f>
        <v>United States</v>
      </c>
      <c r="E136" t="str">
        <f>IFERROR(__xludf.DUMMYFUNCTION("""COMPUTED_VALUE"""),"Founder Chris Elam")</f>
        <v>Founder Chris Elam</v>
      </c>
      <c r="F136" t="str">
        <f>IFERROR(__xludf.DUMMYFUNCTION("""COMPUTED_VALUE"""),"1998–present")</f>
        <v>1998–present</v>
      </c>
    </row>
    <row r="137">
      <c r="A137" t="str">
        <f>IFERROR(__xludf.DUMMYFUNCTION("""COMPUTED_VALUE"""),"Minnesota Ballet")</f>
        <v>Minnesota Ballet</v>
      </c>
      <c r="B137" t="str">
        <f>IFERROR(__xludf.DUMMYFUNCTION("""COMPUTED_VALUE"""),"ballet")</f>
        <v>ballet</v>
      </c>
      <c r="C137" t="str">
        <f>IFERROR(__xludf.DUMMYFUNCTION("""COMPUTED_VALUE"""),"Duluth, Minnesota")</f>
        <v>Duluth, Minnesota</v>
      </c>
      <c r="D137" t="str">
        <f>IFERROR(__xludf.DUMMYFUNCTION("""COMPUTED_VALUE"""),"United States")</f>
        <v>United States</v>
      </c>
      <c r="E137" t="str">
        <f>IFERROR(__xludf.DUMMYFUNCTION("""COMPUTED_VALUE"""),"- Founders Donna Harkins &amp; Jan Gibson
   - AD Robert Gardner")</f>
        <v>- Founders Donna Harkins &amp; Jan Gibson
   - AD Robert Gardner</v>
      </c>
      <c r="F137" t="str">
        <f>IFERROR(__xludf.DUMMYFUNCTION("""COMPUTED_VALUE"""),"1965–present")</f>
        <v>1965–present</v>
      </c>
    </row>
    <row r="138">
      <c r="A138" t="str">
        <f>IFERROR(__xludf.DUMMYFUNCTION("""COMPUTED_VALUE"""),"Minnesota Dance Theatre")</f>
        <v>Minnesota Dance Theatre</v>
      </c>
      <c r="B138" t="str">
        <f>IFERROR(__xludf.DUMMYFUNCTION("""COMPUTED_VALUE"""),"contemporary")</f>
        <v>contemporary</v>
      </c>
      <c r="C138" t="str">
        <f>IFERROR(__xludf.DUMMYFUNCTION("""COMPUTED_VALUE"""),"Minneapolis, Minnesota")</f>
        <v>Minneapolis, Minnesota</v>
      </c>
      <c r="D138" t="str">
        <f>IFERROR(__xludf.DUMMYFUNCTION("""COMPUTED_VALUE"""),"United States")</f>
        <v>United States</v>
      </c>
      <c r="E138" t="str">
        <f>IFERROR(__xludf.DUMMYFUNCTION("""COMPUTED_VALUE"""),"- Founder Loyce Houlton
   - AD Lisa Houlton")</f>
        <v>- Founder Loyce Houlton
   - AD Lisa Houlton</v>
      </c>
      <c r="F138" t="str">
        <f>IFERROR(__xludf.DUMMYFUNCTION("""COMPUTED_VALUE"""),"1962–present")</f>
        <v>1962–present</v>
      </c>
    </row>
    <row r="139">
      <c r="A139" t="str">
        <f>IFERROR(__xludf.DUMMYFUNCTION("""COMPUTED_VALUE"""),"Mirramu Dance Company")</f>
        <v>Mirramu Dance Company</v>
      </c>
      <c r="B139" t="str">
        <f>IFERROR(__xludf.DUMMYFUNCTION("""COMPUTED_VALUE"""),"contemporary")</f>
        <v>contemporary</v>
      </c>
      <c r="C139" t="str">
        <f>IFERROR(__xludf.DUMMYFUNCTION("""COMPUTED_VALUE"""),"Lake George, New South Wales")</f>
        <v>Lake George, New South Wales</v>
      </c>
      <c r="D139" t="str">
        <f>IFERROR(__xludf.DUMMYFUNCTION("""COMPUTED_VALUE"""),"Australia")</f>
        <v>Australia</v>
      </c>
      <c r="E139" t="str">
        <f>IFERROR(__xludf.DUMMYFUNCTION("""COMPUTED_VALUE"""),"Founders Elizabeth Cameron Dalman &amp; Vivienne Rogis")</f>
        <v>Founders Elizabeth Cameron Dalman &amp; Vivienne Rogis</v>
      </c>
      <c r="F139" t="str">
        <f>IFERROR(__xludf.DUMMYFUNCTION("""COMPUTED_VALUE"""),"2002–present")</f>
        <v>2002–present</v>
      </c>
    </row>
    <row r="140">
      <c r="A140" t="str">
        <f>IFERROR(__xludf.DUMMYFUNCTION("""COMPUTED_VALUE"""),"Moldova National Opera Ballet")</f>
        <v>Moldova National Opera Ballet</v>
      </c>
      <c r="B140" t="str">
        <f>IFERROR(__xludf.DUMMYFUNCTION("""COMPUTED_VALUE"""),"ballet")</f>
        <v>ballet</v>
      </c>
      <c r="C140" t="str">
        <f>IFERROR(__xludf.DUMMYFUNCTION("""COMPUTED_VALUE"""),"Chişinău")</f>
        <v>Chişinău</v>
      </c>
      <c r="D140" t="str">
        <f>IFERROR(__xludf.DUMMYFUNCTION("""COMPUTED_VALUE"""),"Moldova")</f>
        <v>Moldova</v>
      </c>
      <c r="E140" t="str">
        <f>IFERROR(__xludf.DUMMYFUNCTION("""COMPUTED_VALUE"""),"")</f>
        <v/>
      </c>
      <c r="F140" t="str">
        <f>IFERROR(__xludf.DUMMYFUNCTION("""COMPUTED_VALUE"""),"1957–present")</f>
        <v>1957–present</v>
      </c>
    </row>
    <row r="141">
      <c r="A141" t="str">
        <f>IFERROR(__xludf.DUMMYFUNCTION("""COMPUTED_VALUE"""),"Momix")</f>
        <v>Momix</v>
      </c>
      <c r="B141" t="str">
        <f>IFERROR(__xludf.DUMMYFUNCTION("""COMPUTED_VALUE"""),"contemporary, illusion")</f>
        <v>contemporary, illusion</v>
      </c>
      <c r="C141" t="str">
        <f>IFERROR(__xludf.DUMMYFUNCTION("""COMPUTED_VALUE"""),"Washington, Connecticut")</f>
        <v>Washington, Connecticut</v>
      </c>
      <c r="D141" t="str">
        <f>IFERROR(__xludf.DUMMYFUNCTION("""COMPUTED_VALUE"""),"United States")</f>
        <v>United States</v>
      </c>
      <c r="E141" t="str">
        <f>IFERROR(__xludf.DUMMYFUNCTION("""COMPUTED_VALUE"""),"Founder &amp; AD Moses Pendleton")</f>
        <v>Founder &amp; AD Moses Pendleton</v>
      </c>
      <c r="F141" t="str">
        <f>IFERROR(__xludf.DUMMYFUNCTION("""COMPUTED_VALUE"""),"1981–present")</f>
        <v>1981–present</v>
      </c>
    </row>
    <row r="142">
      <c r="A142" t="str">
        <f>IFERROR(__xludf.DUMMYFUNCTION("""COMPUTED_VALUE"""),"Moscow Ballet (United States)")</f>
        <v>Moscow Ballet (United States)</v>
      </c>
      <c r="B142" t="str">
        <f>IFERROR(__xludf.DUMMYFUNCTION("""COMPUTED_VALUE"""),"ballet")</f>
        <v>ballet</v>
      </c>
      <c r="C142" t="str">
        <f>IFERROR(__xludf.DUMMYFUNCTION("""COMPUTED_VALUE"""),"")</f>
        <v/>
      </c>
      <c r="D142" t="str">
        <f>IFERROR(__xludf.DUMMYFUNCTION("""COMPUTED_VALUE"""),"United States[a]")</f>
        <v>United States[a]</v>
      </c>
      <c r="E142" t="str">
        <f>IFERROR(__xludf.DUMMYFUNCTION("""COMPUTED_VALUE"""),"")</f>
        <v/>
      </c>
      <c r="F142" t="str">
        <f>IFERROR(__xludf.DUMMYFUNCTION("""COMPUTED_VALUE"""),"1993–present")</f>
        <v>1993–present</v>
      </c>
    </row>
    <row r="143">
      <c r="A143" t="str">
        <f>IFERROR(__xludf.DUMMYFUNCTION("""COMPUTED_VALUE"""),"Motionhouse")</f>
        <v>Motionhouse</v>
      </c>
      <c r="B143" t="str">
        <f>IFERROR(__xludf.DUMMYFUNCTION("""COMPUTED_VALUE"""),"contemporary")</f>
        <v>contemporary</v>
      </c>
      <c r="C143" t="str">
        <f>IFERROR(__xludf.DUMMYFUNCTION("""COMPUTED_VALUE"""),"Leamington Spa")</f>
        <v>Leamington Spa</v>
      </c>
      <c r="D143" t="str">
        <f>IFERROR(__xludf.DUMMYFUNCTION("""COMPUTED_VALUE"""),"England")</f>
        <v>England</v>
      </c>
      <c r="E143" t="str">
        <f>IFERROR(__xludf.DUMMYFUNCTION("""COMPUTED_VALUE"""),"Founders Louise Richards &amp; Kevin Finnan")</f>
        <v>Founders Louise Richards &amp; Kevin Finnan</v>
      </c>
      <c r="F143" t="str">
        <f>IFERROR(__xludf.DUMMYFUNCTION("""COMPUTED_VALUE"""),"1988–present")</f>
        <v>1988–present</v>
      </c>
    </row>
    <row r="144">
      <c r="A144" t="str">
        <f>IFERROR(__xludf.DUMMYFUNCTION("""COMPUTED_VALUE"""),"Motora")</f>
        <v>Motora</v>
      </c>
      <c r="B144" t="str">
        <f>IFERROR(__xludf.DUMMYFUNCTION("""COMPUTED_VALUE"""),"folk dance")</f>
        <v>folk dance</v>
      </c>
      <c r="C144" t="str">
        <f>IFERROR(__xludf.DUMMYFUNCTION("""COMPUTED_VALUE"""),"Joensuu")</f>
        <v>Joensuu</v>
      </c>
      <c r="D144" t="str">
        <f>IFERROR(__xludf.DUMMYFUNCTION("""COMPUTED_VALUE"""),"Finland")</f>
        <v>Finland</v>
      </c>
      <c r="E144" t="str">
        <f>IFERROR(__xludf.DUMMYFUNCTION("""COMPUTED_VALUE"""),"")</f>
        <v/>
      </c>
      <c r="F144" t="str">
        <f>IFERROR(__xludf.DUMMYFUNCTION("""COMPUTED_VALUE"""),"1968–present")</f>
        <v>1968–present</v>
      </c>
    </row>
    <row r="145">
      <c r="A145" t="str">
        <f>IFERROR(__xludf.DUMMYFUNCTION("""COMPUTED_VALUE"""),"Mystic Ballet")</f>
        <v>Mystic Ballet</v>
      </c>
      <c r="B145" t="str">
        <f>IFERROR(__xludf.DUMMYFUNCTION("""COMPUTED_VALUE"""),"contemporary, TIC Theater")</f>
        <v>contemporary, TIC Theater</v>
      </c>
      <c r="C145" t="str">
        <f>IFERROR(__xludf.DUMMYFUNCTION("""COMPUTED_VALUE"""),"Stonington, Connecticut")</f>
        <v>Stonington, Connecticut</v>
      </c>
      <c r="D145" t="str">
        <f>IFERROR(__xludf.DUMMYFUNCTION("""COMPUTED_VALUE"""),"United States")</f>
        <v>United States</v>
      </c>
      <c r="E145" t="str">
        <f>IFERROR(__xludf.DUMMYFUNCTION("""COMPUTED_VALUE"""),"Founder &amp; AD Goran Subotic")</f>
        <v>Founder &amp; AD Goran Subotic</v>
      </c>
      <c r="F145" t="str">
        <f>IFERROR(__xludf.DUMMYFUNCTION("""COMPUTED_VALUE"""),"1997–present")</f>
        <v>1997–present</v>
      </c>
    </row>
    <row r="146">
      <c r="A146" t="str">
        <f>IFERROR(__xludf.DUMMYFUNCTION("""COMPUTED_VALUE"""),"National Ballet of Canada")</f>
        <v>National Ballet of Canada</v>
      </c>
      <c r="B146" t="str">
        <f>IFERROR(__xludf.DUMMYFUNCTION("""COMPUTED_VALUE"""),"ballet")</f>
        <v>ballet</v>
      </c>
      <c r="C146" t="str">
        <f>IFERROR(__xludf.DUMMYFUNCTION("""COMPUTED_VALUE"""),"Toronto, Ontario")</f>
        <v>Toronto, Ontario</v>
      </c>
      <c r="D146" t="str">
        <f>IFERROR(__xludf.DUMMYFUNCTION("""COMPUTED_VALUE"""),"Canada")</f>
        <v>Canada</v>
      </c>
      <c r="E146" t="str">
        <f>IFERROR(__xludf.DUMMYFUNCTION("""COMPUTED_VALUE"""),"- Founder Celia Franca
   - AD Karen Kain")</f>
        <v>- Founder Celia Franca
   - AD Karen Kain</v>
      </c>
      <c r="F146" t="str">
        <f>IFERROR(__xludf.DUMMYFUNCTION("""COMPUTED_VALUE"""),"1951–present")</f>
        <v>1951–present</v>
      </c>
    </row>
    <row r="147">
      <c r="A147" t="str">
        <f>IFERROR(__xludf.DUMMYFUNCTION("""COMPUTED_VALUE"""),"National Ballet Theater of Puerto Rico")</f>
        <v>National Ballet Theater of Puerto Rico</v>
      </c>
      <c r="B147" t="str">
        <f>IFERROR(__xludf.DUMMYFUNCTION("""COMPUTED_VALUE"""),"ballet")</f>
        <v>ballet</v>
      </c>
      <c r="C147" t="str">
        <f>IFERROR(__xludf.DUMMYFUNCTION("""COMPUTED_VALUE"""),"Guaynabo, Puerto Rico")</f>
        <v>Guaynabo, Puerto Rico</v>
      </c>
      <c r="D147" t="str">
        <f>IFERROR(__xludf.DUMMYFUNCTION("""COMPUTED_VALUE"""),"United States")</f>
        <v>United States</v>
      </c>
      <c r="E147" t="str">
        <f>IFERROR(__xludf.DUMMYFUNCTION("""COMPUTED_VALUE"""),"")</f>
        <v/>
      </c>
      <c r="F147" t="str">
        <f>IFERROR(__xludf.DUMMYFUNCTION("""COMPUTED_VALUE"""),"2005–present")</f>
        <v>2005–present</v>
      </c>
    </row>
    <row r="148">
      <c r="A148" t="str">
        <f>IFERROR(__xludf.DUMMYFUNCTION("""COMPUTED_VALUE"""),"National Dance Company of Korea")</f>
        <v>National Dance Company of Korea</v>
      </c>
      <c r="B148" t="str">
        <f>IFERROR(__xludf.DUMMYFUNCTION("""COMPUTED_VALUE"""),"Korean dance")</f>
        <v>Korean dance</v>
      </c>
      <c r="C148" t="str">
        <f>IFERROR(__xludf.DUMMYFUNCTION("""COMPUTED_VALUE"""),"Seoul")</f>
        <v>Seoul</v>
      </c>
      <c r="D148" t="str">
        <f>IFERROR(__xludf.DUMMYFUNCTION("""COMPUTED_VALUE"""),"South Korea")</f>
        <v>South Korea</v>
      </c>
      <c r="E148" t="str">
        <f>IFERROR(__xludf.DUMMYFUNCTION("""COMPUTED_VALUE"""),"")</f>
        <v/>
      </c>
      <c r="F148" t="str">
        <f>IFERROR(__xludf.DUMMYFUNCTION("""COMPUTED_VALUE"""),"1962–present")</f>
        <v>1962–present</v>
      </c>
    </row>
    <row r="149">
      <c r="A149" t="str">
        <f>IFERROR(__xludf.DUMMYFUNCTION("""COMPUTED_VALUE"""),"National Dance Company Wales
(formerly Diversions)")</f>
        <v>National Dance Company Wales
(formerly Diversions)</v>
      </c>
      <c r="B149" t="str">
        <f>IFERROR(__xludf.DUMMYFUNCTION("""COMPUTED_VALUE"""),"contemporary")</f>
        <v>contemporary</v>
      </c>
      <c r="C149" t="str">
        <f>IFERROR(__xludf.DUMMYFUNCTION("""COMPUTED_VALUE"""),"Cardiff Bay")</f>
        <v>Cardiff Bay</v>
      </c>
      <c r="D149" t="str">
        <f>IFERROR(__xludf.DUMMYFUNCTION("""COMPUTED_VALUE"""),"Wales")</f>
        <v>Wales</v>
      </c>
      <c r="E149" t="str">
        <f>IFERROR(__xludf.DUMMYFUNCTION("""COMPUTED_VALUE"""),"- Founders Roy Campbell-Moore &amp; Ann Sholem
   - AD Ann Sholem")</f>
        <v>- Founders Roy Campbell-Moore &amp; Ann Sholem
   - AD Ann Sholem</v>
      </c>
      <c r="F149" t="str">
        <f>IFERROR(__xludf.DUMMYFUNCTION("""COMPUTED_VALUE"""),"1983–present")</f>
        <v>1983–present</v>
      </c>
    </row>
    <row r="150">
      <c r="A150" t="str">
        <f>IFERROR(__xludf.DUMMYFUNCTION("""COMPUTED_VALUE"""),"National Dance Institute of New Mexico")</f>
        <v>National Dance Institute of New Mexico</v>
      </c>
      <c r="B150" t="str">
        <f>IFERROR(__xludf.DUMMYFUNCTION("""COMPUTED_VALUE"""),"various")</f>
        <v>various</v>
      </c>
      <c r="C150" t="str">
        <f>IFERROR(__xludf.DUMMYFUNCTION("""COMPUTED_VALUE"""),"Santa Fe, New Mexico")</f>
        <v>Santa Fe, New Mexico</v>
      </c>
      <c r="D150" t="str">
        <f>IFERROR(__xludf.DUMMYFUNCTION("""COMPUTED_VALUE"""),"United States")</f>
        <v>United States</v>
      </c>
      <c r="E150" t="str">
        <f>IFERROR(__xludf.DUMMYFUNCTION("""COMPUTED_VALUE"""),"- Founder Catherine Oppenheimer
   - AD Tim Santos")</f>
        <v>- Founder Catherine Oppenheimer
   - AD Tim Santos</v>
      </c>
      <c r="F150" t="str">
        <f>IFERROR(__xludf.DUMMYFUNCTION("""COMPUTED_VALUE"""),"1990–present")</f>
        <v>1990–present</v>
      </c>
    </row>
    <row r="151">
      <c r="A151" t="str">
        <f>IFERROR(__xludf.DUMMYFUNCTION("""COMPUTED_VALUE"""),"National Opera and Ballet")</f>
        <v>National Opera and Ballet</v>
      </c>
      <c r="B151" t="str">
        <f>IFERROR(__xludf.DUMMYFUNCTION("""COMPUTED_VALUE"""),"ballet")</f>
        <v>ballet</v>
      </c>
      <c r="C151" t="str">
        <f>IFERROR(__xludf.DUMMYFUNCTION("""COMPUTED_VALUE"""),"Sofia")</f>
        <v>Sofia</v>
      </c>
      <c r="D151" t="str">
        <f>IFERROR(__xludf.DUMMYFUNCTION("""COMPUTED_VALUE"""),"Bulgaria")</f>
        <v>Bulgaria</v>
      </c>
      <c r="E151" t="str">
        <f>IFERROR(__xludf.DUMMYFUNCTION("""COMPUTED_VALUE"""),"")</f>
        <v/>
      </c>
      <c r="F151" t="str">
        <f>IFERROR(__xludf.DUMMYFUNCTION("""COMPUTED_VALUE"""),"1928–present")</f>
        <v>1928–present</v>
      </c>
    </row>
    <row r="152">
      <c r="A152" t="str">
        <f>IFERROR(__xludf.DUMMYFUNCTION("""COMPUTED_VALUE"""),"*Nederlands Dans Theater*")</f>
        <v>*Nederlands Dans Theater*</v>
      </c>
      <c r="B152" t="str">
        <f>IFERROR(__xludf.DUMMYFUNCTION("""COMPUTED_VALUE"""),"contemporary")</f>
        <v>contemporary</v>
      </c>
      <c r="C152" t="str">
        <f>IFERROR(__xludf.DUMMYFUNCTION("""COMPUTED_VALUE"""),"The Hague")</f>
        <v>The Hague</v>
      </c>
      <c r="D152" t="str">
        <f>IFERROR(__xludf.DUMMYFUNCTION("""COMPUTED_VALUE"""),"Netherlands")</f>
        <v>Netherlands</v>
      </c>
      <c r="E152" t="str">
        <f>IFERROR(__xludf.DUMMYFUNCTION("""COMPUTED_VALUE"""),"- Founders Benjamin Harkarvy, Aart Verstegen &amp; Carel Birnie
   - AD Jim Vincent
   - Choreographers Jiří Kylián, Paul Lightfoot &amp; Sol León")</f>
        <v>- Founders Benjamin Harkarvy, Aart Verstegen &amp; Carel Birnie
   - AD Jim Vincent
   - Choreographers Jiří Kylián, Paul Lightfoot &amp; Sol León</v>
      </c>
      <c r="F152" t="str">
        <f>IFERROR(__xludf.DUMMYFUNCTION("""COMPUTED_VALUE"""),"1959–present")</f>
        <v>1959–present</v>
      </c>
    </row>
    <row r="153">
      <c r="A153" t="str">
        <f>IFERROR(__xludf.DUMMYFUNCTION("""COMPUTED_VALUE"""),"New Adventures")</f>
        <v>New Adventures</v>
      </c>
      <c r="B153" t="str">
        <f>IFERROR(__xludf.DUMMYFUNCTION("""COMPUTED_VALUE"""),"contemporary")</f>
        <v>contemporary</v>
      </c>
      <c r="C153" t="str">
        <f>IFERROR(__xludf.DUMMYFUNCTION("""COMPUTED_VALUE"""),"Sadler's Wells Theatre, London")</f>
        <v>Sadler's Wells Theatre, London</v>
      </c>
      <c r="D153" t="str">
        <f>IFERROR(__xludf.DUMMYFUNCTION("""COMPUTED_VALUE"""),"England")</f>
        <v>England</v>
      </c>
      <c r="E153" t="str">
        <f>IFERROR(__xludf.DUMMYFUNCTION("""COMPUTED_VALUE"""),"AD Matthew Bourne")</f>
        <v>AD Matthew Bourne</v>
      </c>
      <c r="F153" t="str">
        <f>IFERROR(__xludf.DUMMYFUNCTION("""COMPUTED_VALUE"""),"2002–present")</f>
        <v>2002–present</v>
      </c>
    </row>
    <row r="154">
      <c r="A154" t="str">
        <f>IFERROR(__xludf.DUMMYFUNCTION("""COMPUTED_VALUE"""),"New York Baroque Dance Company")</f>
        <v>New York Baroque Dance Company</v>
      </c>
      <c r="B154" t="str">
        <f>IFERROR(__xludf.DUMMYFUNCTION("""COMPUTED_VALUE"""),"historical ballet")</f>
        <v>historical ballet</v>
      </c>
      <c r="C154" t="str">
        <f>IFERROR(__xludf.DUMMYFUNCTION("""COMPUTED_VALUE"""),"New York City")</f>
        <v>New York City</v>
      </c>
      <c r="D154" t="str">
        <f>IFERROR(__xludf.DUMMYFUNCTION("""COMPUTED_VALUE"""),"United States")</f>
        <v>United States</v>
      </c>
      <c r="E154" t="str">
        <f>IFERROR(__xludf.DUMMYFUNCTION("""COMPUTED_VALUE"""),"AD Catherine Turocy")</f>
        <v>AD Catherine Turocy</v>
      </c>
      <c r="F154" t="str">
        <f>IFERROR(__xludf.DUMMYFUNCTION("""COMPUTED_VALUE"""),"1976–present")</f>
        <v>1976–present</v>
      </c>
    </row>
    <row r="155">
      <c r="A155" t="str">
        <f>IFERROR(__xludf.DUMMYFUNCTION("""COMPUTED_VALUE"""),"New York City Ballet")</f>
        <v>New York City Ballet</v>
      </c>
      <c r="B155" t="str">
        <f>IFERROR(__xludf.DUMMYFUNCTION("""COMPUTED_VALUE"""),"ballet")</f>
        <v>ballet</v>
      </c>
      <c r="C155" t="str">
        <f>IFERROR(__xludf.DUMMYFUNCTION("""COMPUTED_VALUE"""),"New York City")</f>
        <v>New York City</v>
      </c>
      <c r="D155" t="str">
        <f>IFERROR(__xludf.DUMMYFUNCTION("""COMPUTED_VALUE"""),"United States")</f>
        <v>United States</v>
      </c>
      <c r="E155" t="str">
        <f>IFERROR(__xludf.DUMMYFUNCTION("""COMPUTED_VALUE"""),"Founders George Balanchine &amp; Lincoln Kirstein")</f>
        <v>Founders George Balanchine &amp; Lincoln Kirstein</v>
      </c>
      <c r="F155" t="str">
        <f>IFERROR(__xludf.DUMMYFUNCTION("""COMPUTED_VALUE"""),"1948–present")</f>
        <v>1948–present</v>
      </c>
    </row>
    <row r="156">
      <c r="A156" t="str">
        <f>IFERROR(__xludf.DUMMYFUNCTION("""COMPUTED_VALUE"""),"New York Theatre Ballet")</f>
        <v>New York Theatre Ballet</v>
      </c>
      <c r="B156" t="str">
        <f>IFERROR(__xludf.DUMMYFUNCTION("""COMPUTED_VALUE"""),"ballet")</f>
        <v>ballet</v>
      </c>
      <c r="C156" t="str">
        <f>IFERROR(__xludf.DUMMYFUNCTION("""COMPUTED_VALUE"""),"New York City")</f>
        <v>New York City</v>
      </c>
      <c r="D156" t="str">
        <f>IFERROR(__xludf.DUMMYFUNCTION("""COMPUTED_VALUE"""),"United States")</f>
        <v>United States</v>
      </c>
      <c r="E156" t="str">
        <f>IFERROR(__xludf.DUMMYFUNCTION("""COMPUTED_VALUE"""),"Founder &amp; AD Diana Byer")</f>
        <v>Founder &amp; AD Diana Byer</v>
      </c>
      <c r="F156" t="str">
        <f>IFERROR(__xludf.DUMMYFUNCTION("""COMPUTED_VALUE"""),"1978–present")</f>
        <v>1978–present</v>
      </c>
    </row>
    <row r="157">
      <c r="A157" t="str">
        <f>IFERROR(__xludf.DUMMYFUNCTION("""COMPUTED_VALUE"""),"The New Zealand Dance Company")</f>
        <v>The New Zealand Dance Company</v>
      </c>
      <c r="B157" t="str">
        <f>IFERROR(__xludf.DUMMYFUNCTION("""COMPUTED_VALUE"""),"contemporary dance")</f>
        <v>contemporary dance</v>
      </c>
      <c r="C157" t="str">
        <f>IFERROR(__xludf.DUMMYFUNCTION("""COMPUTED_VALUE"""),"Auckland")</f>
        <v>Auckland</v>
      </c>
      <c r="D157" t="str">
        <f>IFERROR(__xludf.DUMMYFUNCTION("""COMPUTED_VALUE"""),"New Zealand")</f>
        <v>New Zealand</v>
      </c>
      <c r="E157" t="str">
        <f>IFERROR(__xludf.DUMMYFUNCTION("""COMPUTED_VALUE"""),"Co-founders Shona McCullagh and Frances Turner")</f>
        <v>Co-founders Shona McCullagh and Frances Turner</v>
      </c>
      <c r="F157" t="str">
        <f>IFERROR(__xludf.DUMMYFUNCTION("""COMPUTED_VALUE"""),"2011–present")</f>
        <v>2011–present</v>
      </c>
    </row>
    <row r="158">
      <c r="A158" t="str">
        <f>IFERROR(__xludf.DUMMYFUNCTION("""COMPUTED_VALUE"""),"Northern Ballet (formerly Northern Ballet Theatre)")</f>
        <v>Northern Ballet (formerly Northern Ballet Theatre)</v>
      </c>
      <c r="B158" t="str">
        <f>IFERROR(__xludf.DUMMYFUNCTION("""COMPUTED_VALUE"""),"ballet")</f>
        <v>ballet</v>
      </c>
      <c r="C158" t="str">
        <f>IFERROR(__xludf.DUMMYFUNCTION("""COMPUTED_VALUE"""),"Leeds")</f>
        <v>Leeds</v>
      </c>
      <c r="D158" t="str">
        <f>IFERROR(__xludf.DUMMYFUNCTION("""COMPUTED_VALUE"""),"England")</f>
        <v>England</v>
      </c>
      <c r="E158" t="str">
        <f>IFERROR(__xludf.DUMMYFUNCTION("""COMPUTED_VALUE"""),"- Founder Laverne Meye
   - rAD David Nixon")</f>
        <v>- Founder Laverne Meye
   - rAD David Nixon</v>
      </c>
      <c r="F158" t="str">
        <f>IFERROR(__xludf.DUMMYFUNCTION("""COMPUTED_VALUE"""),"1969–present")</f>
        <v>1969–present</v>
      </c>
    </row>
    <row r="159">
      <c r="A159" t="str">
        <f>IFERROR(__xludf.DUMMYFUNCTION("""COMPUTED_VALUE"""),"Nunzio Impellizzeri Dance Company")</f>
        <v>Nunzio Impellizzeri Dance Company</v>
      </c>
      <c r="B159" t="str">
        <f>IFERROR(__xludf.DUMMYFUNCTION("""COMPUTED_VALUE"""),"contemporary")</f>
        <v>contemporary</v>
      </c>
      <c r="C159" t="str">
        <f>IFERROR(__xludf.DUMMYFUNCTION("""COMPUTED_VALUE"""),"Zurich")</f>
        <v>Zurich</v>
      </c>
      <c r="D159" t="str">
        <f>IFERROR(__xludf.DUMMYFUNCTION("""COMPUTED_VALUE"""),"Switzerland")</f>
        <v>Switzerland</v>
      </c>
      <c r="E159" t="str">
        <f>IFERROR(__xludf.DUMMYFUNCTION("""COMPUTED_VALUE"""),"- Founder Nunzio Impellizzeri")</f>
        <v>- Founder Nunzio Impellizzeri</v>
      </c>
      <c r="F159" t="str">
        <f>IFERROR(__xludf.DUMMYFUNCTION("""COMPUTED_VALUE"""),"2014–present")</f>
        <v>2014–present</v>
      </c>
    </row>
    <row r="160">
      <c r="A160" t="str">
        <f>IFERROR(__xludf.DUMMYFUNCTION("""COMPUTED_VALUE"""),"NW Fusion Dance Company")</f>
        <v>NW Fusion Dance Company</v>
      </c>
      <c r="B160" t="str">
        <f>IFERROR(__xludf.DUMMYFUNCTION("""COMPUTED_VALUE"""),"jazz, modern &amp; tap dance")</f>
        <v>jazz, modern &amp; tap dance</v>
      </c>
      <c r="C160" t="str">
        <f>IFERROR(__xludf.DUMMYFUNCTION("""COMPUTED_VALUE"""),"Portland, Oregon")</f>
        <v>Portland, Oregon</v>
      </c>
      <c r="D160" t="str">
        <f>IFERROR(__xludf.DUMMYFUNCTION("""COMPUTED_VALUE"""),"United States")</f>
        <v>United States</v>
      </c>
      <c r="E160" t="str">
        <f>IFERROR(__xludf.DUMMYFUNCTION("""COMPUTED_VALUE"""),"Founder &amp; AD Brad Hampton")</f>
        <v>Founder &amp; AD Brad Hampton</v>
      </c>
      <c r="F160" t="str">
        <f>IFERROR(__xludf.DUMMYFUNCTION("""COMPUTED_VALUE"""),"2008–present")</f>
        <v>2008–present</v>
      </c>
    </row>
    <row r="161">
      <c r="A161" t="str">
        <f>IFERROR(__xludf.DUMMYFUNCTION("""COMPUTED_VALUE"""),"Oakville Ballet Company")</f>
        <v>Oakville Ballet Company</v>
      </c>
      <c r="B161" t="str">
        <f>IFERROR(__xludf.DUMMYFUNCTION("""COMPUTED_VALUE"""),"ballet")</f>
        <v>ballet</v>
      </c>
      <c r="C161" t="str">
        <f>IFERROR(__xludf.DUMMYFUNCTION("""COMPUTED_VALUE"""),"Oakville, Ontario")</f>
        <v>Oakville, Ontario</v>
      </c>
      <c r="D161" t="str">
        <f>IFERROR(__xludf.DUMMYFUNCTION("""COMPUTED_VALUE"""),"Canada")</f>
        <v>Canada</v>
      </c>
      <c r="E161" t="str">
        <f>IFERROR(__xludf.DUMMYFUNCTION("""COMPUTED_VALUE"""),"AD Amanda Bayliss")</f>
        <v>AD Amanda Bayliss</v>
      </c>
      <c r="F161" t="str">
        <f>IFERROR(__xludf.DUMMYFUNCTION("""COMPUTED_VALUE"""),"current")</f>
        <v>current</v>
      </c>
    </row>
    <row r="162">
      <c r="A162" t="str">
        <f>IFERROR(__xludf.DUMMYFUNCTION("""COMPUTED_VALUE"""),"ODC/Dance")</f>
        <v>ODC/Dance</v>
      </c>
      <c r="B162" t="str">
        <f>IFERROR(__xludf.DUMMYFUNCTION("""COMPUTED_VALUE"""),"contemporary")</f>
        <v>contemporary</v>
      </c>
      <c r="C162" t="str">
        <f>IFERROR(__xludf.DUMMYFUNCTION("""COMPUTED_VALUE"""),"San Francisco, California")</f>
        <v>San Francisco, California</v>
      </c>
      <c r="D162" t="str">
        <f>IFERROR(__xludf.DUMMYFUNCTION("""COMPUTED_VALUE"""),"United States")</f>
        <v>United States</v>
      </c>
      <c r="E162" t="str">
        <f>IFERROR(__xludf.DUMMYFUNCTION("""COMPUTED_VALUE"""),"Founder &amp; AD Brenda Way")</f>
        <v>Founder &amp; AD Brenda Way</v>
      </c>
      <c r="F162" t="str">
        <f>IFERROR(__xludf.DUMMYFUNCTION("""COMPUTED_VALUE"""),"1971–present")</f>
        <v>1971–present</v>
      </c>
    </row>
    <row r="163">
      <c r="A163" t="str">
        <f>IFERROR(__xludf.DUMMYFUNCTION("""COMPUTED_VALUE"""),"Oregon Ballet Theatre")</f>
        <v>Oregon Ballet Theatre</v>
      </c>
      <c r="B163" t="str">
        <f>IFERROR(__xludf.DUMMYFUNCTION("""COMPUTED_VALUE"""),"ballet")</f>
        <v>ballet</v>
      </c>
      <c r="C163" t="str">
        <f>IFERROR(__xludf.DUMMYFUNCTION("""COMPUTED_VALUE"""),"Portland, Oregon")</f>
        <v>Portland, Oregon</v>
      </c>
      <c r="D163" t="str">
        <f>IFERROR(__xludf.DUMMYFUNCTION("""COMPUTED_VALUE"""),"United States")</f>
        <v>United States</v>
      </c>
      <c r="E163" t="str">
        <f>IFERROR(__xludf.DUMMYFUNCTION("""COMPUTED_VALUE"""),"Founder James Canfield 
Interim AD Anne Mueller")</f>
        <v>Founder James Canfield 
Interim AD Anne Mueller</v>
      </c>
      <c r="F163" t="str">
        <f>IFERROR(__xludf.DUMMYFUNCTION("""COMPUTED_VALUE"""),"1989–present")</f>
        <v>1989–present</v>
      </c>
    </row>
    <row r="164">
      <c r="A164" t="str">
        <f>IFERROR(__xludf.DUMMYFUNCTION("""COMPUTED_VALUE"""),"Pacific Northwest Ballet")</f>
        <v>Pacific Northwest Ballet</v>
      </c>
      <c r="B164" t="str">
        <f>IFERROR(__xludf.DUMMYFUNCTION("""COMPUTED_VALUE"""),"ballet")</f>
        <v>ballet</v>
      </c>
      <c r="C164" t="str">
        <f>IFERROR(__xludf.DUMMYFUNCTION("""COMPUTED_VALUE"""),"Seattle")</f>
        <v>Seattle</v>
      </c>
      <c r="D164" t="str">
        <f>IFERROR(__xludf.DUMMYFUNCTION("""COMPUTED_VALUE"""),"United States")</f>
        <v>United States</v>
      </c>
      <c r="E164" t="str">
        <f>IFERROR(__xludf.DUMMYFUNCTION("""COMPUTED_VALUE"""),"- Founders Kent Stowell &amp; Francia Russell
   - AD Peter Boal")</f>
        <v>- Founders Kent Stowell &amp; Francia Russell
   - AD Peter Boal</v>
      </c>
      <c r="F164" t="str">
        <f>IFERROR(__xludf.DUMMYFUNCTION("""COMPUTED_VALUE"""),"1972–present")</f>
        <v>1972–present</v>
      </c>
    </row>
    <row r="165">
      <c r="A165" t="str">
        <f>IFERROR(__xludf.DUMMYFUNCTION("""COMPUTED_VALUE"""),"Paris Opera Ballet (*Ballet de l'Opéra national de Paris*)")</f>
        <v>Paris Opera Ballet (*Ballet de l'Opéra national de Paris*)</v>
      </c>
      <c r="B165" t="str">
        <f>IFERROR(__xludf.DUMMYFUNCTION("""COMPUTED_VALUE"""),"ballet")</f>
        <v>ballet</v>
      </c>
      <c r="C165" t="str">
        <f>IFERROR(__xludf.DUMMYFUNCTION("""COMPUTED_VALUE"""),"Paris")</f>
        <v>Paris</v>
      </c>
      <c r="D165" t="str">
        <f>IFERROR(__xludf.DUMMYFUNCTION("""COMPUTED_VALUE"""),"France")</f>
        <v>France</v>
      </c>
      <c r="E165" t="str">
        <f>IFERROR(__xludf.DUMMYFUNCTION("""COMPUTED_VALUE"""),"Director Brigitte Lefèvre 
as of Oct. 15, 2015 Benjamin Millepied")</f>
        <v>Director Brigitte Lefèvre 
as of Oct. 15, 2015 Benjamin Millepied</v>
      </c>
      <c r="F165" t="str">
        <f>IFERROR(__xludf.DUMMYFUNCTION("""COMPUTED_VALUE"""),"1669–present")</f>
        <v>1669–present</v>
      </c>
    </row>
    <row r="166">
      <c r="A166" t="str">
        <f>IFERROR(__xludf.DUMMYFUNCTION("""COMPUTED_VALUE"""),"Parsons Dance Company")</f>
        <v>Parsons Dance Company</v>
      </c>
      <c r="B166" t="str">
        <f>IFERROR(__xludf.DUMMYFUNCTION("""COMPUTED_VALUE"""),"contemporary")</f>
        <v>contemporary</v>
      </c>
      <c r="C166" t="str">
        <f>IFERROR(__xludf.DUMMYFUNCTION("""COMPUTED_VALUE"""),"New York City")</f>
        <v>New York City</v>
      </c>
      <c r="D166" t="str">
        <f>IFERROR(__xludf.DUMMYFUNCTION("""COMPUTED_VALUE"""),"United States")</f>
        <v>United States</v>
      </c>
      <c r="E166" t="str">
        <f>IFERROR(__xludf.DUMMYFUNCTION("""COMPUTED_VALUE"""),"Founder David Parsons")</f>
        <v>Founder David Parsons</v>
      </c>
      <c r="F166" t="str">
        <f>IFERROR(__xludf.DUMMYFUNCTION("""COMPUTED_VALUE"""),"1985–present")</f>
        <v>1985–present</v>
      </c>
    </row>
    <row r="167">
      <c r="A167" t="str">
        <f>IFERROR(__xludf.DUMMYFUNCTION("""COMPUTED_VALUE"""),"Patti Rutland Jazz")</f>
        <v>Patti Rutland Jazz</v>
      </c>
      <c r="B167" t="str">
        <f>IFERROR(__xludf.DUMMYFUNCTION("""COMPUTED_VALUE"""),"contemporary jazz &amp; hip-hop")</f>
        <v>contemporary jazz &amp; hip-hop</v>
      </c>
      <c r="C167" t="str">
        <f>IFERROR(__xludf.DUMMYFUNCTION("""COMPUTED_VALUE"""),"Dothan, Alabama")</f>
        <v>Dothan, Alabama</v>
      </c>
      <c r="D167" t="str">
        <f>IFERROR(__xludf.DUMMYFUNCTION("""COMPUTED_VALUE"""),"United States")</f>
        <v>United States</v>
      </c>
      <c r="E167" t="str">
        <f>IFERROR(__xludf.DUMMYFUNCTION("""COMPUTED_VALUE"""),"Founder Patti Rutland")</f>
        <v>Founder Patti Rutland</v>
      </c>
      <c r="F167" t="str">
        <f>IFERROR(__xludf.DUMMYFUNCTION("""COMPUTED_VALUE"""),"2005–present")</f>
        <v>2005–present</v>
      </c>
    </row>
    <row r="168">
      <c r="A168" t="str">
        <f>IFERROR(__xludf.DUMMYFUNCTION("""COMPUTED_VALUE"""),"Paul Taylor Dance Company")</f>
        <v>Paul Taylor Dance Company</v>
      </c>
      <c r="B168" t="str">
        <f>IFERROR(__xludf.DUMMYFUNCTION("""COMPUTED_VALUE"""),"modern")</f>
        <v>modern</v>
      </c>
      <c r="C168" t="str">
        <f>IFERROR(__xludf.DUMMYFUNCTION("""COMPUTED_VALUE"""),"New York City")</f>
        <v>New York City</v>
      </c>
      <c r="D168" t="str">
        <f>IFERROR(__xludf.DUMMYFUNCTION("""COMPUTED_VALUE"""),"United States")</f>
        <v>United States</v>
      </c>
      <c r="E168" t="str">
        <f>IFERROR(__xludf.DUMMYFUNCTION("""COMPUTED_VALUE"""),"Founder Paul Taylor")</f>
        <v>Founder Paul Taylor</v>
      </c>
      <c r="F168" t="str">
        <f>IFERROR(__xludf.DUMMYFUNCTION("""COMPUTED_VALUE"""),"1954–present")</f>
        <v>1954–present</v>
      </c>
    </row>
    <row r="169">
      <c r="A169" t="str">
        <f>IFERROR(__xludf.DUMMYFUNCTION("""COMPUTED_VALUE"""),"Pennsylvania Ballet")</f>
        <v>Pennsylvania Ballet</v>
      </c>
      <c r="B169" t="str">
        <f>IFERROR(__xludf.DUMMYFUNCTION("""COMPUTED_VALUE"""),"ballet")</f>
        <v>ballet</v>
      </c>
      <c r="C169" t="str">
        <f>IFERROR(__xludf.DUMMYFUNCTION("""COMPUTED_VALUE"""),"Philadelphia, Pennsylvania")</f>
        <v>Philadelphia, Pennsylvania</v>
      </c>
      <c r="D169" t="str">
        <f>IFERROR(__xludf.DUMMYFUNCTION("""COMPUTED_VALUE"""),"United States")</f>
        <v>United States</v>
      </c>
      <c r="E169" t="str">
        <f>IFERROR(__xludf.DUMMYFUNCTION("""COMPUTED_VALUE"""),"Founder Barbara Weisberger")</f>
        <v>Founder Barbara Weisberger</v>
      </c>
      <c r="F169" t="str">
        <f>IFERROR(__xludf.DUMMYFUNCTION("""COMPUTED_VALUE"""),"1963–present")</f>
        <v>1963–present</v>
      </c>
    </row>
    <row r="170">
      <c r="A170" t="str">
        <f>IFERROR(__xludf.DUMMYFUNCTION("""COMPUTED_VALUE"""),"*Les Percussions de Guinée*")</f>
        <v>*Les Percussions de Guinée*</v>
      </c>
      <c r="B170" t="str">
        <f>IFERROR(__xludf.DUMMYFUNCTION("""COMPUTED_VALUE"""),"traditional")</f>
        <v>traditional</v>
      </c>
      <c r="C170" t="str">
        <f>IFERROR(__xludf.DUMMYFUNCTION("""COMPUTED_VALUE"""),"")</f>
        <v/>
      </c>
      <c r="D170" t="str">
        <f>IFERROR(__xludf.DUMMYFUNCTION("""COMPUTED_VALUE"""),"Guinea")</f>
        <v>Guinea</v>
      </c>
      <c r="E170" t="str">
        <f>IFERROR(__xludf.DUMMYFUNCTION("""COMPUTED_VALUE"""),"")</f>
        <v/>
      </c>
      <c r="F170" t="str">
        <f>IFERROR(__xludf.DUMMYFUNCTION("""COMPUTED_VALUE"""),"1987–present")</f>
        <v>1987–present</v>
      </c>
    </row>
    <row r="171">
      <c r="A171" t="str">
        <f>IFERROR(__xludf.DUMMYFUNCTION("""COMPUTED_VALUE"""),"Philippine Ballet Theatre")</f>
        <v>Philippine Ballet Theatre</v>
      </c>
      <c r="B171" t="str">
        <f>IFERROR(__xludf.DUMMYFUNCTION("""COMPUTED_VALUE"""),"classical ballet")</f>
        <v>classical ballet</v>
      </c>
      <c r="C171" t="str">
        <f>IFERROR(__xludf.DUMMYFUNCTION("""COMPUTED_VALUE"""),"Metro Manila")</f>
        <v>Metro Manila</v>
      </c>
      <c r="D171" t="str">
        <f>IFERROR(__xludf.DUMMYFUNCTION("""COMPUTED_VALUE"""),"Philippines")</f>
        <v>Philippines</v>
      </c>
      <c r="E171" t="str">
        <f>IFERROR(__xludf.DUMMYFUNCTION("""COMPUTED_VALUE"""),"")</f>
        <v/>
      </c>
      <c r="F171" t="str">
        <f>IFERROR(__xludf.DUMMYFUNCTION("""COMPUTED_VALUE"""),"1987–present")</f>
        <v>1987–present</v>
      </c>
    </row>
    <row r="172">
      <c r="A172" t="str">
        <f>IFERROR(__xludf.DUMMYFUNCTION("""COMPUTED_VALUE"""),"Pick Up Performance Company")</f>
        <v>Pick Up Performance Company</v>
      </c>
      <c r="B172" t="str">
        <f>IFERROR(__xludf.DUMMYFUNCTION("""COMPUTED_VALUE"""),"")</f>
        <v/>
      </c>
      <c r="C172" t="str">
        <f>IFERROR(__xludf.DUMMYFUNCTION("""COMPUTED_VALUE"""),"New York City")</f>
        <v>New York City</v>
      </c>
      <c r="D172" t="str">
        <f>IFERROR(__xludf.DUMMYFUNCTION("""COMPUTED_VALUE"""),"United States")</f>
        <v>United States</v>
      </c>
      <c r="E172" t="str">
        <f>IFERROR(__xludf.DUMMYFUNCTION("""COMPUTED_VALUE"""),"Choreographer David Gordon")</f>
        <v>Choreographer David Gordon</v>
      </c>
      <c r="F172" t="str">
        <f>IFERROR(__xludf.DUMMYFUNCTION("""COMPUTED_VALUE"""),"1971–present")</f>
        <v>1971–present</v>
      </c>
    </row>
    <row r="173">
      <c r="A173" t="str">
        <f>IFERROR(__xludf.DUMMYFUNCTION("""COMPUTED_VALUE"""),"Pilobolus")</f>
        <v>Pilobolus</v>
      </c>
      <c r="B173" t="str">
        <f>IFERROR(__xludf.DUMMYFUNCTION("""COMPUTED_VALUE"""),"modern")</f>
        <v>modern</v>
      </c>
      <c r="C173" t="str">
        <f>IFERROR(__xludf.DUMMYFUNCTION("""COMPUTED_VALUE"""),"Washington Depot, Connecticut")</f>
        <v>Washington Depot, Connecticut</v>
      </c>
      <c r="D173" t="str">
        <f>IFERROR(__xludf.DUMMYFUNCTION("""COMPUTED_VALUE"""),"United States")</f>
        <v>United States</v>
      </c>
      <c r="E173" t="str">
        <f>IFERROR(__xludf.DUMMYFUNCTION("""COMPUTED_VALUE"""),"AD Robby Barnett")</f>
        <v>AD Robby Barnett</v>
      </c>
      <c r="F173" t="str">
        <f>IFERROR(__xludf.DUMMYFUNCTION("""COMPUTED_VALUE"""),"1971–present")</f>
        <v>1971–present</v>
      </c>
    </row>
    <row r="174">
      <c r="A174" t="str">
        <f>IFERROR(__xludf.DUMMYFUNCTION("""COMPUTED_VALUE"""),"Pittsburgh Ballet Theatre")</f>
        <v>Pittsburgh Ballet Theatre</v>
      </c>
      <c r="B174" t="str">
        <f>IFERROR(__xludf.DUMMYFUNCTION("""COMPUTED_VALUE"""),"ballet")</f>
        <v>ballet</v>
      </c>
      <c r="C174" t="str">
        <f>IFERROR(__xludf.DUMMYFUNCTION("""COMPUTED_VALUE"""),"Pittsburgh, Pennsylvania")</f>
        <v>Pittsburgh, Pennsylvania</v>
      </c>
      <c r="D174" t="str">
        <f>IFERROR(__xludf.DUMMYFUNCTION("""COMPUTED_VALUE"""),"United States")</f>
        <v>United States</v>
      </c>
      <c r="E174" t="str">
        <f>IFERROR(__xludf.DUMMYFUNCTION("""COMPUTED_VALUE"""),"Founders Nicolas Petrov, Frederic Franklin")</f>
        <v>Founders Nicolas Petrov, Frederic Franklin</v>
      </c>
      <c r="F174" t="str">
        <f>IFERROR(__xludf.DUMMYFUNCTION("""COMPUTED_VALUE"""),"1968–present")</f>
        <v>1968–present</v>
      </c>
    </row>
    <row r="175">
      <c r="A175" t="str">
        <f>IFERROR(__xludf.DUMMYFUNCTION("""COMPUTED_VALUE"""),"Placer Theatre Ballet")</f>
        <v>Placer Theatre Ballet</v>
      </c>
      <c r="B175" t="str">
        <f>IFERROR(__xludf.DUMMYFUNCTION("""COMPUTED_VALUE"""),"ballet")</f>
        <v>ballet</v>
      </c>
      <c r="C175" t="str">
        <f>IFERROR(__xludf.DUMMYFUNCTION("""COMPUTED_VALUE"""),"Placer County, California")</f>
        <v>Placer County, California</v>
      </c>
      <c r="D175" t="str">
        <f>IFERROR(__xludf.DUMMYFUNCTION("""COMPUTED_VALUE"""),"United States")</f>
        <v>United States</v>
      </c>
      <c r="E175" t="str">
        <f>IFERROR(__xludf.DUMMYFUNCTION("""COMPUTED_VALUE"""),"Founder &amp; AD Pat Colgate")</f>
        <v>Founder &amp; AD Pat Colgate</v>
      </c>
      <c r="F175" t="str">
        <f>IFERROR(__xludf.DUMMYFUNCTION("""COMPUTED_VALUE"""),"current")</f>
        <v>current</v>
      </c>
    </row>
    <row r="176">
      <c r="A176" t="str">
        <f>IFERROR(__xludf.DUMMYFUNCTION("""COMPUTED_VALUE"""),"Prince Dance Group")</f>
        <v>Prince Dance Group</v>
      </c>
      <c r="B176" t="str">
        <f>IFERROR(__xludf.DUMMYFUNCTION("""COMPUTED_VALUE"""),"")</f>
        <v/>
      </c>
      <c r="C176" t="str">
        <f>IFERROR(__xludf.DUMMYFUNCTION("""COMPUTED_VALUE"""),"Berhampur, Orissa")</f>
        <v>Berhampur, Orissa</v>
      </c>
      <c r="D176" t="str">
        <f>IFERROR(__xludf.DUMMYFUNCTION("""COMPUTED_VALUE"""),"India")</f>
        <v>India</v>
      </c>
      <c r="E176" t="str">
        <f>IFERROR(__xludf.DUMMYFUNCTION("""COMPUTED_VALUE"""),"T. Krishna Mohan Reddy")</f>
        <v>T. Krishna Mohan Reddy</v>
      </c>
      <c r="F176" t="str">
        <f>IFERROR(__xludf.DUMMYFUNCTION("""COMPUTED_VALUE"""),"current")</f>
        <v>current</v>
      </c>
    </row>
    <row r="177">
      <c r="A177" t="str">
        <f>IFERROR(__xludf.DUMMYFUNCTION("""COMPUTED_VALUE"""),"Queensland Ballet (formerly Lisner Ballet Company)")</f>
        <v>Queensland Ballet (formerly Lisner Ballet Company)</v>
      </c>
      <c r="B177" t="str">
        <f>IFERROR(__xludf.DUMMYFUNCTION("""COMPUTED_VALUE"""),"ballet")</f>
        <v>ballet</v>
      </c>
      <c r="C177" t="str">
        <f>IFERROR(__xludf.DUMMYFUNCTION("""COMPUTED_VALUE"""),"Brisbane")</f>
        <v>Brisbane</v>
      </c>
      <c r="D177" t="str">
        <f>IFERROR(__xludf.DUMMYFUNCTION("""COMPUTED_VALUE"""),"Australia")</f>
        <v>Australia</v>
      </c>
      <c r="E177" t="str">
        <f>IFERROR(__xludf.DUMMYFUNCTION("""COMPUTED_VALUE"""),"- Founder Charles Lisner
   - AD François Klaus")</f>
        <v>- Founder Charles Lisner
   - AD François Klaus</v>
      </c>
      <c r="F177" t="str">
        <f>IFERROR(__xludf.DUMMYFUNCTION("""COMPUTED_VALUE"""),"1960–present")</f>
        <v>1960–present</v>
      </c>
    </row>
    <row r="178">
      <c r="A178" t="str">
        <f>IFERROR(__xludf.DUMMYFUNCTION("""COMPUTED_VALUE"""),"Raks Geek")</f>
        <v>Raks Geek</v>
      </c>
      <c r="B178" t="str">
        <f>IFERROR(__xludf.DUMMYFUNCTION("""COMPUTED_VALUE"""),"belly dance")</f>
        <v>belly dance</v>
      </c>
      <c r="C178" t="str">
        <f>IFERROR(__xludf.DUMMYFUNCTION("""COMPUTED_VALUE"""),"Chicago, Illinois")</f>
        <v>Chicago, Illinois</v>
      </c>
      <c r="D178" t="str">
        <f>IFERROR(__xludf.DUMMYFUNCTION("""COMPUTED_VALUE"""),"United States")</f>
        <v>United States</v>
      </c>
      <c r="E178" t="str">
        <f>IFERROR(__xludf.DUMMYFUNCTION("""COMPUTED_VALUE"""),"Founder Dawn Xiana Moon")</f>
        <v>Founder Dawn Xiana Moon</v>
      </c>
      <c r="F178" t="str">
        <f>IFERROR(__xludf.DUMMYFUNCTION("""COMPUTED_VALUE"""),"2012–present")</f>
        <v>2012–present</v>
      </c>
    </row>
    <row r="179">
      <c r="A179" t="str">
        <f>IFERROR(__xludf.DUMMYFUNCTION("""COMPUTED_VALUE"""),"Rambert Dance Company")</f>
        <v>Rambert Dance Company</v>
      </c>
      <c r="B179" t="str">
        <f>IFERROR(__xludf.DUMMYFUNCTION("""COMPUTED_VALUE"""),"contemporary")</f>
        <v>contemporary</v>
      </c>
      <c r="C179" t="str">
        <f>IFERROR(__xludf.DUMMYFUNCTION("""COMPUTED_VALUE"""),"London")</f>
        <v>London</v>
      </c>
      <c r="D179" t="str">
        <f>IFERROR(__xludf.DUMMYFUNCTION("""COMPUTED_VALUE"""),"England")</f>
        <v>England</v>
      </c>
      <c r="E179" t="str">
        <f>IFERROR(__xludf.DUMMYFUNCTION("""COMPUTED_VALUE"""),"- Founder Dame Marie Rambert
   - AD Mark Baldwin")</f>
        <v>- Founder Dame Marie Rambert
   - AD Mark Baldwin</v>
      </c>
      <c r="F179" t="str">
        <f>IFERROR(__xludf.DUMMYFUNCTION("""COMPUTED_VALUE"""),"1926–present")</f>
        <v>1926–present</v>
      </c>
    </row>
    <row r="180">
      <c r="A180" t="str">
        <f>IFERROR(__xludf.DUMMYFUNCTION("""COMPUTED_VALUE"""),"Remix Dance Project")</f>
        <v>Remix Dance Project</v>
      </c>
      <c r="B180" t="str">
        <f>IFERROR(__xludf.DUMMYFUNCTION("""COMPUTED_VALUE"""),"contemporary, integrated")</f>
        <v>contemporary, integrated</v>
      </c>
      <c r="C180" t="str">
        <f>IFERROR(__xludf.DUMMYFUNCTION("""COMPUTED_VALUE"""),"Cape Town")</f>
        <v>Cape Town</v>
      </c>
      <c r="D180" t="str">
        <f>IFERROR(__xludf.DUMMYFUNCTION("""COMPUTED_VALUE"""),"South Africa")</f>
        <v>South Africa</v>
      </c>
      <c r="E180" t="str">
        <f>IFERROR(__xludf.DUMMYFUNCTION("""COMPUTED_VALUE"""),"Founders Nicola Visser, Malcolm Black")</f>
        <v>Founders Nicola Visser, Malcolm Black</v>
      </c>
      <c r="F180" t="str">
        <f>IFERROR(__xludf.DUMMYFUNCTION("""COMPUTED_VALUE"""),"2000–present")</f>
        <v>2000–present</v>
      </c>
    </row>
    <row r="181">
      <c r="A181" t="str">
        <f>IFERROR(__xludf.DUMMYFUNCTION("""COMPUTED_VALUE"""),"Rennie Harris Puremovement")</f>
        <v>Rennie Harris Puremovement</v>
      </c>
      <c r="B181" t="str">
        <f>IFERROR(__xludf.DUMMYFUNCTION("""COMPUTED_VALUE"""),"hip hop")</f>
        <v>hip hop</v>
      </c>
      <c r="C181" t="str">
        <f>IFERROR(__xludf.DUMMYFUNCTION("""COMPUTED_VALUE"""),"Pittsburgh, Pennsylvania")</f>
        <v>Pittsburgh, Pennsylvania</v>
      </c>
      <c r="D181" t="str">
        <f>IFERROR(__xludf.DUMMYFUNCTION("""COMPUTED_VALUE"""),"United States")</f>
        <v>United States</v>
      </c>
      <c r="E181" t="str">
        <f>IFERROR(__xludf.DUMMYFUNCTION("""COMPUTED_VALUE"""),"Founder Rennie Harris")</f>
        <v>Founder Rennie Harris</v>
      </c>
      <c r="F181" t="str">
        <f>IFERROR(__xludf.DUMMYFUNCTION("""COMPUTED_VALUE"""),"1992–present")</f>
        <v>1992–present</v>
      </c>
    </row>
    <row r="182">
      <c r="A182" t="str">
        <f>IFERROR(__xludf.DUMMYFUNCTION("""COMPUTED_VALUE"""),"Restless Dance Theatre (formerly Restless Dance Company)")</f>
        <v>Restless Dance Theatre (formerly Restless Dance Company)</v>
      </c>
      <c r="B182" t="str">
        <f>IFERROR(__xludf.DUMMYFUNCTION("""COMPUTED_VALUE"""),"contemporary, integrated")</f>
        <v>contemporary, integrated</v>
      </c>
      <c r="C182" t="str">
        <f>IFERROR(__xludf.DUMMYFUNCTION("""COMPUTED_VALUE"""),"Adelaide")</f>
        <v>Adelaide</v>
      </c>
      <c r="D182" t="str">
        <f>IFERROR(__xludf.DUMMYFUNCTION("""COMPUTED_VALUE"""),"Australia")</f>
        <v>Australia</v>
      </c>
      <c r="E182" t="str">
        <f>IFERROR(__xludf.DUMMYFUNCTION("""COMPUTED_VALUE"""),"- Founders Sally Chance, Tania Rose
   - AD Philip Channells")</f>
        <v>- Founders Sally Chance, Tania Rose
   - AD Philip Channells</v>
      </c>
      <c r="F182" t="str">
        <f>IFERROR(__xludf.DUMMYFUNCTION("""COMPUTED_VALUE"""),"1991–present")</f>
        <v>1991–present</v>
      </c>
    </row>
    <row r="183">
      <c r="A183" t="str">
        <f>IFERROR(__xludf.DUMMYFUNCTION("""COMPUTED_VALUE"""),"Richard Alston Dance Company")</f>
        <v>Richard Alston Dance Company</v>
      </c>
      <c r="B183" t="str">
        <f>IFERROR(__xludf.DUMMYFUNCTION("""COMPUTED_VALUE"""),"contemporary")</f>
        <v>contemporary</v>
      </c>
      <c r="C183" t="str">
        <f>IFERROR(__xludf.DUMMYFUNCTION("""COMPUTED_VALUE"""),"London")</f>
        <v>London</v>
      </c>
      <c r="D183" t="str">
        <f>IFERROR(__xludf.DUMMYFUNCTION("""COMPUTED_VALUE"""),"England")</f>
        <v>England</v>
      </c>
      <c r="E183" t="str">
        <f>IFERROR(__xludf.DUMMYFUNCTION("""COMPUTED_VALUE"""),"AD Richard Alston")</f>
        <v>AD Richard Alston</v>
      </c>
      <c r="F183" t="str">
        <f>IFERROR(__xludf.DUMMYFUNCTION("""COMPUTED_VALUE"""),"1994–present")</f>
        <v>1994–present</v>
      </c>
    </row>
    <row r="184">
      <c r="A184" t="str">
        <f>IFERROR(__xludf.DUMMYFUNCTION("""COMPUTED_VALUE"""),"Ririe-Woodbury Dance Company")</f>
        <v>Ririe-Woodbury Dance Company</v>
      </c>
      <c r="B184" t="str">
        <f>IFERROR(__xludf.DUMMYFUNCTION("""COMPUTED_VALUE"""),"contemporary")</f>
        <v>contemporary</v>
      </c>
      <c r="C184" t="str">
        <f>IFERROR(__xludf.DUMMYFUNCTION("""COMPUTED_VALUE"""),"Salt Lake City, Utah")</f>
        <v>Salt Lake City, Utah</v>
      </c>
      <c r="D184" t="str">
        <f>IFERROR(__xludf.DUMMYFUNCTION("""COMPUTED_VALUE"""),"United States")</f>
        <v>United States</v>
      </c>
      <c r="E184" t="str">
        <f>IFERROR(__xludf.DUMMYFUNCTION("""COMPUTED_VALUE"""),"Joan Woodbury &amp; Shirley Ririe")</f>
        <v>Joan Woodbury &amp; Shirley Ririe</v>
      </c>
      <c r="F184" t="str">
        <f>IFERROR(__xludf.DUMMYFUNCTION("""COMPUTED_VALUE"""),"1964–present")</f>
        <v>1964–present</v>
      </c>
    </row>
    <row r="185">
      <c r="A185" t="str">
        <f>IFERROR(__xludf.DUMMYFUNCTION("""COMPUTED_VALUE"""),"Riverdance")</f>
        <v>Riverdance</v>
      </c>
      <c r="B185" t="str">
        <f>IFERROR(__xludf.DUMMYFUNCTION("""COMPUTED_VALUE"""),"Irish Dance")</f>
        <v>Irish Dance</v>
      </c>
      <c r="C185" t="str">
        <f>IFERROR(__xludf.DUMMYFUNCTION("""COMPUTED_VALUE"""),"Dublin")</f>
        <v>Dublin</v>
      </c>
      <c r="D185" t="str">
        <f>IFERROR(__xludf.DUMMYFUNCTION("""COMPUTED_VALUE"""),"Ireland")</f>
        <v>Ireland</v>
      </c>
      <c r="E185" t="str">
        <f>IFERROR(__xludf.DUMMYFUNCTION("""COMPUTED_VALUE"""),"Composer Bill Whelan Producer Moya Doherty Director John McColgan")</f>
        <v>Composer Bill Whelan Producer Moya Doherty Director John McColgan</v>
      </c>
      <c r="F185" t="str">
        <f>IFERROR(__xludf.DUMMYFUNCTION("""COMPUTED_VALUE"""),"1995–present")</f>
        <v>1995–present</v>
      </c>
    </row>
    <row r="186">
      <c r="A186" t="str">
        <f>IFERROR(__xludf.DUMMYFUNCTION("""COMPUTED_VALUE"""),"The Rockettes")</f>
        <v>The Rockettes</v>
      </c>
      <c r="B186" t="str">
        <f>IFERROR(__xludf.DUMMYFUNCTION("""COMPUTED_VALUE"""),"precision dance, various")</f>
        <v>precision dance, various</v>
      </c>
      <c r="C186" t="str">
        <f>IFERROR(__xludf.DUMMYFUNCTION("""COMPUTED_VALUE"""),"New York City")</f>
        <v>New York City</v>
      </c>
      <c r="D186" t="str">
        <f>IFERROR(__xludf.DUMMYFUNCTION("""COMPUTED_VALUE"""),"United States")</f>
        <v>United States</v>
      </c>
      <c r="E186" t="str">
        <f>IFERROR(__xludf.DUMMYFUNCTION("""COMPUTED_VALUE"""),"Founder Russell Markert")</f>
        <v>Founder Russell Markert</v>
      </c>
      <c r="F186" t="str">
        <f>IFERROR(__xludf.DUMMYFUNCTION("""COMPUTED_VALUE"""),"1925–present")</f>
        <v>1925–present</v>
      </c>
    </row>
    <row r="187">
      <c r="A187" t="str">
        <f>IFERROR(__xludf.DUMMYFUNCTION("""COMPUTED_VALUE"""),"The Royal Ballet")</f>
        <v>The Royal Ballet</v>
      </c>
      <c r="B187" t="str">
        <f>IFERROR(__xludf.DUMMYFUNCTION("""COMPUTED_VALUE"""),"classical ballet")</f>
        <v>classical ballet</v>
      </c>
      <c r="C187" t="str">
        <f>IFERROR(__xludf.DUMMYFUNCTION("""COMPUTED_VALUE"""),"London")</f>
        <v>London</v>
      </c>
      <c r="D187" t="str">
        <f>IFERROR(__xludf.DUMMYFUNCTION("""COMPUTED_VALUE"""),"England")</f>
        <v>England</v>
      </c>
      <c r="E187" t="str">
        <f>IFERROR(__xludf.DUMMYFUNCTION("""COMPUTED_VALUE"""),"- Founder Dame Ninette de Valois
   - Choreographers
   Sir Frederick Ashton,
   Wayne McGregor (current)")</f>
        <v>- Founder Dame Ninette de Valois
   - Choreographers
   Sir Frederick Ashton,
   Wayne McGregor (current)</v>
      </c>
      <c r="F187" t="str">
        <f>IFERROR(__xludf.DUMMYFUNCTION("""COMPUTED_VALUE"""),"1931–present")</f>
        <v>1931–present</v>
      </c>
    </row>
    <row r="188">
      <c r="A188" t="str">
        <f>IFERROR(__xludf.DUMMYFUNCTION("""COMPUTED_VALUE"""),"Royal Danish Ballet")</f>
        <v>Royal Danish Ballet</v>
      </c>
      <c r="B188" t="str">
        <f>IFERROR(__xludf.DUMMYFUNCTION("""COMPUTED_VALUE"""),"ballet")</f>
        <v>ballet</v>
      </c>
      <c r="C188" t="str">
        <f>IFERROR(__xludf.DUMMYFUNCTION("""COMPUTED_VALUE"""),"Copenhagen")</f>
        <v>Copenhagen</v>
      </c>
      <c r="D188" t="str">
        <f>IFERROR(__xludf.DUMMYFUNCTION("""COMPUTED_VALUE"""),"Denmark")</f>
        <v>Denmark</v>
      </c>
      <c r="E188" t="str">
        <f>IFERROR(__xludf.DUMMYFUNCTION("""COMPUTED_VALUE"""),"AD Nikolaj Hübbe")</f>
        <v>AD Nikolaj Hübbe</v>
      </c>
      <c r="F188" t="str">
        <f>IFERROR(__xludf.DUMMYFUNCTION("""COMPUTED_VALUE"""),"1748–present")</f>
        <v>1748–present</v>
      </c>
    </row>
    <row r="189">
      <c r="A189" t="str">
        <f>IFERROR(__xludf.DUMMYFUNCTION("""COMPUTED_VALUE"""),"Royal New Zealand Ballet")</f>
        <v>Royal New Zealand Ballet</v>
      </c>
      <c r="B189" t="str">
        <f>IFERROR(__xludf.DUMMYFUNCTION("""COMPUTED_VALUE"""),"ballet")</f>
        <v>ballet</v>
      </c>
      <c r="C189" t="str">
        <f>IFERROR(__xludf.DUMMYFUNCTION("""COMPUTED_VALUE"""),"Wellington")</f>
        <v>Wellington</v>
      </c>
      <c r="D189" t="str">
        <f>IFERROR(__xludf.DUMMYFUNCTION("""COMPUTED_VALUE"""),"New Zealand")</f>
        <v>New Zealand</v>
      </c>
      <c r="E189" t="str">
        <f>IFERROR(__xludf.DUMMYFUNCTION("""COMPUTED_VALUE"""),"")</f>
        <v/>
      </c>
      <c r="F189" t="str">
        <f>IFERROR(__xludf.DUMMYFUNCTION("""COMPUTED_VALUE"""),"1953–present")</f>
        <v>1953–present</v>
      </c>
    </row>
    <row r="190">
      <c r="A190" t="str">
        <f>IFERROR(__xludf.DUMMYFUNCTION("""COMPUTED_VALUE"""),"Royal Swedish Ballet (formerly Swedish Opera Ballet)")</f>
        <v>Royal Swedish Ballet (formerly Swedish Opera Ballet)</v>
      </c>
      <c r="B190" t="str">
        <f>IFERROR(__xludf.DUMMYFUNCTION("""COMPUTED_VALUE"""),"ballet")</f>
        <v>ballet</v>
      </c>
      <c r="C190" t="str">
        <f>IFERROR(__xludf.DUMMYFUNCTION("""COMPUTED_VALUE"""),"Stockholm")</f>
        <v>Stockholm</v>
      </c>
      <c r="D190" t="str">
        <f>IFERROR(__xludf.DUMMYFUNCTION("""COMPUTED_VALUE"""),"Sweden")</f>
        <v>Sweden</v>
      </c>
      <c r="E190" t="str">
        <f>IFERROR(__xludf.DUMMYFUNCTION("""COMPUTED_VALUE"""),"AD Madeleine Onne")</f>
        <v>AD Madeleine Onne</v>
      </c>
      <c r="F190" t="str">
        <f>IFERROR(__xludf.DUMMYFUNCTION("""COMPUTED_VALUE"""),"1773–present")</f>
        <v>1773–present</v>
      </c>
    </row>
    <row r="191">
      <c r="A191" t="str">
        <f>IFERROR(__xludf.DUMMYFUNCTION("""COMPUTED_VALUE"""),"Royal Winnipeg Ballet")</f>
        <v>Royal Winnipeg Ballet</v>
      </c>
      <c r="B191" t="str">
        <f>IFERROR(__xludf.DUMMYFUNCTION("""COMPUTED_VALUE"""),"ballet")</f>
        <v>ballet</v>
      </c>
      <c r="C191" t="str">
        <f>IFERROR(__xludf.DUMMYFUNCTION("""COMPUTED_VALUE"""),"Winnipeg, Manitoba")</f>
        <v>Winnipeg, Manitoba</v>
      </c>
      <c r="D191" t="str">
        <f>IFERROR(__xludf.DUMMYFUNCTION("""COMPUTED_VALUE"""),"Canada")</f>
        <v>Canada</v>
      </c>
      <c r="E191" t="str">
        <f>IFERROR(__xludf.DUMMYFUNCTION("""COMPUTED_VALUE"""),"AD André Lewis")</f>
        <v>AD André Lewis</v>
      </c>
      <c r="F191" t="str">
        <f>IFERROR(__xludf.DUMMYFUNCTION("""COMPUTED_VALUE"""),"1939–present")</f>
        <v>1939–present</v>
      </c>
    </row>
    <row r="192">
      <c r="A192" t="str">
        <f>IFERROR(__xludf.DUMMYFUNCTION("""COMPUTED_VALUE"""),"Sacramento Ballet")</f>
        <v>Sacramento Ballet</v>
      </c>
      <c r="B192" t="str">
        <f>IFERROR(__xludf.DUMMYFUNCTION("""COMPUTED_VALUE"""),"ballet")</f>
        <v>ballet</v>
      </c>
      <c r="C192" t="str">
        <f>IFERROR(__xludf.DUMMYFUNCTION("""COMPUTED_VALUE"""),"Sacramento, California")</f>
        <v>Sacramento, California</v>
      </c>
      <c r="D192" t="str">
        <f>IFERROR(__xludf.DUMMYFUNCTION("""COMPUTED_VALUE"""),"United States")</f>
        <v>United States</v>
      </c>
      <c r="E192" t="str">
        <f>IFERROR(__xludf.DUMMYFUNCTION("""COMPUTED_VALUE"""),"Founders Barbara Crockett &amp; Deane Crockett")</f>
        <v>Founders Barbara Crockett &amp; Deane Crockett</v>
      </c>
      <c r="F192" t="str">
        <f>IFERROR(__xludf.DUMMYFUNCTION("""COMPUTED_VALUE"""),"1954–present")</f>
        <v>1954–present</v>
      </c>
    </row>
    <row r="193">
      <c r="A193" t="str">
        <f>IFERROR(__xludf.DUMMYFUNCTION("""COMPUTED_VALUE"""),"The Rubberbodies Collective")</f>
        <v>The Rubberbodies Collective</v>
      </c>
      <c r="B193" t="str">
        <f>IFERROR(__xludf.DUMMYFUNCTION("""COMPUTED_VALUE"""),"experimental")</f>
        <v>experimental</v>
      </c>
      <c r="C193" t="str">
        <f>IFERROR(__xludf.DUMMYFUNCTION("""COMPUTED_VALUE"""),"")</f>
        <v/>
      </c>
      <c r="D193" t="str">
        <f>IFERROR(__xludf.DUMMYFUNCTION("""COMPUTED_VALUE"""),"Malta")</f>
        <v>Malta</v>
      </c>
      <c r="E193" t="str">
        <f>IFERROR(__xludf.DUMMYFUNCTION("""COMPUTED_VALUE"""),"2009–present")</f>
        <v>2009–present</v>
      </c>
      <c r="F193" t="str">
        <f>IFERROR(__xludf.DUMMYFUNCTION("""COMPUTED_VALUE"""),"")</f>
        <v/>
      </c>
    </row>
    <row r="194">
      <c r="A194" t="str">
        <f>IFERROR(__xludf.DUMMYFUNCTION("""COMPUTED_VALUE"""),"San Francisco Ballet")</f>
        <v>San Francisco Ballet</v>
      </c>
      <c r="B194" t="str">
        <f>IFERROR(__xludf.DUMMYFUNCTION("""COMPUTED_VALUE"""),"ballet")</f>
        <v>ballet</v>
      </c>
      <c r="C194" t="str">
        <f>IFERROR(__xludf.DUMMYFUNCTION("""COMPUTED_VALUE"""),"San Francisco, California")</f>
        <v>San Francisco, California</v>
      </c>
      <c r="D194" t="str">
        <f>IFERROR(__xludf.DUMMYFUNCTION("""COMPUTED_VALUE"""),"United States")</f>
        <v>United States</v>
      </c>
      <c r="E194" t="str">
        <f>IFERROR(__xludf.DUMMYFUNCTION("""COMPUTED_VALUE"""),"AD Helgi Tomasson")</f>
        <v>AD Helgi Tomasson</v>
      </c>
      <c r="F194" t="str">
        <f>IFERROR(__xludf.DUMMYFUNCTION("""COMPUTED_VALUE"""),"1933–present")</f>
        <v>1933–present</v>
      </c>
    </row>
    <row r="195">
      <c r="A195" t="str">
        <f>IFERROR(__xludf.DUMMYFUNCTION("""COMPUTED_VALUE"""),"Savannah Danse Theatre")</f>
        <v>Savannah Danse Theatre</v>
      </c>
      <c r="B195" t="str">
        <f>IFERROR(__xludf.DUMMYFUNCTION("""COMPUTED_VALUE"""),"ballet")</f>
        <v>ballet</v>
      </c>
      <c r="C195" t="str">
        <f>IFERROR(__xludf.DUMMYFUNCTION("""COMPUTED_VALUE"""),"Savannah, Georgia")</f>
        <v>Savannah, Georgia</v>
      </c>
      <c r="D195" t="str">
        <f>IFERROR(__xludf.DUMMYFUNCTION("""COMPUTED_VALUE"""),"United States")</f>
        <v>United States</v>
      </c>
      <c r="E195" t="str">
        <f>IFERROR(__xludf.DUMMYFUNCTION("""COMPUTED_VALUE"""),"Founder Suzanne Braddy")</f>
        <v>Founder Suzanne Braddy</v>
      </c>
      <c r="F195" t="str">
        <f>IFERROR(__xludf.DUMMYFUNCTION("""COMPUTED_VALUE"""),"1998–present")</f>
        <v>1998–present</v>
      </c>
    </row>
    <row r="196">
      <c r="A196" t="str">
        <f>IFERROR(__xludf.DUMMYFUNCTION("""COMPUTED_VALUE"""),"Scottish Ballet (formerly Western Theatre Ballet)")</f>
        <v>Scottish Ballet (formerly Western Theatre Ballet)</v>
      </c>
      <c r="B196" t="str">
        <f>IFERROR(__xludf.DUMMYFUNCTION("""COMPUTED_VALUE"""),"ballet")</f>
        <v>ballet</v>
      </c>
      <c r="C196" t="str">
        <f>IFERROR(__xludf.DUMMYFUNCTION("""COMPUTED_VALUE"""),"Glasgow")</f>
        <v>Glasgow</v>
      </c>
      <c r="D196" t="str">
        <f>IFERROR(__xludf.DUMMYFUNCTION("""COMPUTED_VALUE"""),"Scotland")</f>
        <v>Scotland</v>
      </c>
      <c r="E196" t="str">
        <f>IFERROR(__xludf.DUMMYFUNCTION("""COMPUTED_VALUE"""),"AD Ashley Page")</f>
        <v>AD Ashley Page</v>
      </c>
      <c r="F196" t="str">
        <f>IFERROR(__xludf.DUMMYFUNCTION("""COMPUTED_VALUE"""),"1957–present")</f>
        <v>1957–present</v>
      </c>
    </row>
    <row r="197">
      <c r="A197" t="str">
        <f>IFERROR(__xludf.DUMMYFUNCTION("""COMPUTED_VALUE"""),"Scottish Dance Theatre")</f>
        <v>Scottish Dance Theatre</v>
      </c>
      <c r="B197" t="str">
        <f>IFERROR(__xludf.DUMMYFUNCTION("""COMPUTED_VALUE"""),"contemporary")</f>
        <v>contemporary</v>
      </c>
      <c r="C197" t="str">
        <f>IFERROR(__xludf.DUMMYFUNCTION("""COMPUTED_VALUE"""),"Dundee")</f>
        <v>Dundee</v>
      </c>
      <c r="D197" t="str">
        <f>IFERROR(__xludf.DUMMYFUNCTION("""COMPUTED_VALUE"""),"Scotland")</f>
        <v>Scotland</v>
      </c>
      <c r="E197" t="str">
        <f>IFERROR(__xludf.DUMMYFUNCTION("""COMPUTED_VALUE"""),"AD Janet Smith")</f>
        <v>AD Janet Smith</v>
      </c>
      <c r="F197" t="str">
        <f>IFERROR(__xludf.DUMMYFUNCTION("""COMPUTED_VALUE"""),"1986–present")</f>
        <v>1986–present</v>
      </c>
    </row>
    <row r="198">
      <c r="A198" t="str">
        <f>IFERROR(__xludf.DUMMYFUNCTION("""COMPUTED_VALUE"""),"Sensedance")</f>
        <v>Sensedance</v>
      </c>
      <c r="B198" t="str">
        <f>IFERROR(__xludf.DUMMYFUNCTION("""COMPUTED_VALUE"""),"contemporary")</f>
        <v>contemporary</v>
      </c>
      <c r="C198" t="str">
        <f>IFERROR(__xludf.DUMMYFUNCTION("""COMPUTED_VALUE"""),"New York City")</f>
        <v>New York City</v>
      </c>
      <c r="D198" t="str">
        <f>IFERROR(__xludf.DUMMYFUNCTION("""COMPUTED_VALUE"""),"United States")</f>
        <v>United States</v>
      </c>
      <c r="E198" t="str">
        <f>IFERROR(__xludf.DUMMYFUNCTION("""COMPUTED_VALUE"""),"AD Henning Rübsam")</f>
        <v>AD Henning Rübsam</v>
      </c>
      <c r="F198" t="str">
        <f>IFERROR(__xludf.DUMMYFUNCTION("""COMPUTED_VALUE"""),"1991–present")</f>
        <v>1991–present</v>
      </c>
    </row>
    <row r="199">
      <c r="A199" t="str">
        <f>IFERROR(__xludf.DUMMYFUNCTION("""COMPUTED_VALUE"""),"Serbian Cultural Association Oplenac")</f>
        <v>Serbian Cultural Association Oplenac</v>
      </c>
      <c r="B199" t="str">
        <f>IFERROR(__xludf.DUMMYFUNCTION("""COMPUTED_VALUE"""),"folk dance")</f>
        <v>folk dance</v>
      </c>
      <c r="C199" t="str">
        <f>IFERROR(__xludf.DUMMYFUNCTION("""COMPUTED_VALUE"""),"Mississauga")</f>
        <v>Mississauga</v>
      </c>
      <c r="D199" t="str">
        <f>IFERROR(__xludf.DUMMYFUNCTION("""COMPUTED_VALUE"""),"Canada")</f>
        <v>Canada</v>
      </c>
      <c r="E199" t="str">
        <f>IFERROR(__xludf.DUMMYFUNCTION("""COMPUTED_VALUE"""),"")</f>
        <v/>
      </c>
      <c r="F199" t="str">
        <f>IFERROR(__xludf.DUMMYFUNCTION("""COMPUTED_VALUE"""),"1987–present")</f>
        <v>1987–present</v>
      </c>
    </row>
    <row r="200">
      <c r="A200" t="str">
        <f>IFERROR(__xludf.DUMMYFUNCTION("""COMPUTED_VALUE"""),"Shanghai Ballet Company")</f>
        <v>Shanghai Ballet Company</v>
      </c>
      <c r="B200" t="str">
        <f>IFERROR(__xludf.DUMMYFUNCTION("""COMPUTED_VALUE"""),"ballet")</f>
        <v>ballet</v>
      </c>
      <c r="C200" t="str">
        <f>IFERROR(__xludf.DUMMYFUNCTION("""COMPUTED_VALUE"""),"Shanghai")</f>
        <v>Shanghai</v>
      </c>
      <c r="D200" t="str">
        <f>IFERROR(__xludf.DUMMYFUNCTION("""COMPUTED_VALUE"""),"China")</f>
        <v>China</v>
      </c>
      <c r="E200" t="str">
        <f>IFERROR(__xludf.DUMMYFUNCTION("""COMPUTED_VALUE"""),"")</f>
        <v/>
      </c>
      <c r="F200" t="str">
        <f>IFERROR(__xludf.DUMMYFUNCTION("""COMPUTED_VALUE"""),"1966–present")</f>
        <v>1966–present</v>
      </c>
    </row>
    <row r="201">
      <c r="A201" t="str">
        <f>IFERROR(__xludf.DUMMYFUNCTION("""COMPUTED_VALUE"""),"Shobana Jeyasingh Dance Company")</f>
        <v>Shobana Jeyasingh Dance Company</v>
      </c>
      <c r="B201" t="str">
        <f>IFERROR(__xludf.DUMMYFUNCTION("""COMPUTED_VALUE"""),"contemporary")</f>
        <v>contemporary</v>
      </c>
      <c r="C201" t="str">
        <f>IFERROR(__xludf.DUMMYFUNCTION("""COMPUTED_VALUE"""),"London")</f>
        <v>London</v>
      </c>
      <c r="D201" t="str">
        <f>IFERROR(__xludf.DUMMYFUNCTION("""COMPUTED_VALUE"""),"England")</f>
        <v>England</v>
      </c>
      <c r="E201" t="str">
        <f>IFERROR(__xludf.DUMMYFUNCTION("""COMPUTED_VALUE"""),"AD &amp; Choreographer Shobana Jeyasingh")</f>
        <v>AD &amp; Choreographer Shobana Jeyasingh</v>
      </c>
      <c r="F201" t="str">
        <f>IFERROR(__xludf.DUMMYFUNCTION("""COMPUTED_VALUE"""),"1988–present")</f>
        <v>1988–present</v>
      </c>
    </row>
    <row r="202">
      <c r="A202" t="str">
        <f>IFERROR(__xludf.DUMMYFUNCTION("""COMPUTED_VALUE"""),"The Silver Belles")</f>
        <v>The Silver Belles</v>
      </c>
      <c r="B202" t="str">
        <f>IFERROR(__xludf.DUMMYFUNCTION("""COMPUTED_VALUE"""),"tap")</f>
        <v>tap</v>
      </c>
      <c r="C202" t="str">
        <f>IFERROR(__xludf.DUMMYFUNCTION("""COMPUTED_VALUE"""),"Harlem")</f>
        <v>Harlem</v>
      </c>
      <c r="D202" t="str">
        <f>IFERROR(__xludf.DUMMYFUNCTION("""COMPUTED_VALUE"""),"United States")</f>
        <v>United States</v>
      </c>
      <c r="E202" t="str">
        <f>IFERROR(__xludf.DUMMYFUNCTION("""COMPUTED_VALUE"""),"")</f>
        <v/>
      </c>
      <c r="F202" t="str">
        <f>IFERROR(__xludf.DUMMYFUNCTION("""COMPUTED_VALUE"""),"")</f>
        <v/>
      </c>
    </row>
    <row r="203">
      <c r="A203" t="str">
        <f>IFERROR(__xludf.DUMMYFUNCTION("""COMPUTED_VALUE"""),"Siobhan Davies Dance")</f>
        <v>Siobhan Davies Dance</v>
      </c>
      <c r="B203" t="str">
        <f>IFERROR(__xludf.DUMMYFUNCTION("""COMPUTED_VALUE"""),"contemporary")</f>
        <v>contemporary</v>
      </c>
      <c r="C203" t="str">
        <f>IFERROR(__xludf.DUMMYFUNCTION("""COMPUTED_VALUE"""),"London")</f>
        <v>London</v>
      </c>
      <c r="D203" t="str">
        <f>IFERROR(__xludf.DUMMYFUNCTION("""COMPUTED_VALUE"""),"England")</f>
        <v>England</v>
      </c>
      <c r="E203" t="str">
        <f>IFERROR(__xludf.DUMMYFUNCTION("""COMPUTED_VALUE"""),"Founder Siobhan Davies")</f>
        <v>Founder Siobhan Davies</v>
      </c>
      <c r="F203" t="str">
        <f>IFERROR(__xludf.DUMMYFUNCTION("""COMPUTED_VALUE"""),"1989–present")</f>
        <v>1989–present</v>
      </c>
    </row>
    <row r="204">
      <c r="A204" t="str">
        <f>IFERROR(__xludf.DUMMYFUNCTION("""COMPUTED_VALUE"""),"sjDANCEco")</f>
        <v>sjDANCEco</v>
      </c>
      <c r="B204" t="str">
        <f>IFERROR(__xludf.DUMMYFUNCTION("""COMPUTED_VALUE"""),"contemporary")</f>
        <v>contemporary</v>
      </c>
      <c r="C204" t="str">
        <f>IFERROR(__xludf.DUMMYFUNCTION("""COMPUTED_VALUE"""),"San Jose, California")</f>
        <v>San Jose, California</v>
      </c>
      <c r="D204" t="str">
        <f>IFERROR(__xludf.DUMMYFUNCTION("""COMPUTED_VALUE"""),"United States")</f>
        <v>United States</v>
      </c>
      <c r="E204" t="str">
        <f>IFERROR(__xludf.DUMMYFUNCTION("""COMPUTED_VALUE"""),"Founders Gary Masters and Maria Basile")</f>
        <v>Founders Gary Masters and Maria Basile</v>
      </c>
      <c r="F204" t="str">
        <f>IFERROR(__xludf.DUMMYFUNCTION("""COMPUTED_VALUE"""),"2003–present")</f>
        <v>2003–present</v>
      </c>
    </row>
    <row r="205">
      <c r="A205" t="str">
        <f>IFERROR(__xludf.DUMMYFUNCTION("""COMPUTED_VALUE"""),"Snappy Dance Theater")</f>
        <v>Snappy Dance Theater</v>
      </c>
      <c r="B205" t="str">
        <f>IFERROR(__xludf.DUMMYFUNCTION("""COMPUTED_VALUE"""),"postmodern")</f>
        <v>postmodern</v>
      </c>
      <c r="C205" t="str">
        <f>IFERROR(__xludf.DUMMYFUNCTION("""COMPUTED_VALUE"""),"Cambridge, Massachusetts")</f>
        <v>Cambridge, Massachusetts</v>
      </c>
      <c r="D205" t="str">
        <f>IFERROR(__xludf.DUMMYFUNCTION("""COMPUTED_VALUE"""),"United States")</f>
        <v>United States</v>
      </c>
      <c r="E205" t="str">
        <f>IFERROR(__xludf.DUMMYFUNCTION("""COMPUTED_VALUE"""),"AD Martha Mason")</f>
        <v>AD Martha Mason</v>
      </c>
      <c r="F205" t="str">
        <f>IFERROR(__xludf.DUMMYFUNCTION("""COMPUTED_VALUE"""),"1996–present")</f>
        <v>1996–present</v>
      </c>
    </row>
    <row r="206">
      <c r="A206" t="str">
        <f>IFERROR(__xludf.DUMMYFUNCTION("""COMPUTED_VALUE"""),"St Petersburg Ballet Theatre")</f>
        <v>St Petersburg Ballet Theatre</v>
      </c>
      <c r="B206" t="str">
        <f>IFERROR(__xludf.DUMMYFUNCTION("""COMPUTED_VALUE"""),"classical ballet")</f>
        <v>classical ballet</v>
      </c>
      <c r="C206" t="str">
        <f>IFERROR(__xludf.DUMMYFUNCTION("""COMPUTED_VALUE"""),"Saint Petersburg")</f>
        <v>Saint Petersburg</v>
      </c>
      <c r="D206" t="str">
        <f>IFERROR(__xludf.DUMMYFUNCTION("""COMPUTED_VALUE"""),"Russia")</f>
        <v>Russia</v>
      </c>
      <c r="E206" t="str">
        <f>IFERROR(__xludf.DUMMYFUNCTION("""COMPUTED_VALUE"""),"Founder Konstantin Tachkin")</f>
        <v>Founder Konstantin Tachkin</v>
      </c>
      <c r="F206" t="str">
        <f>IFERROR(__xludf.DUMMYFUNCTION("""COMPUTED_VALUE"""),"1994–present")</f>
        <v>1994–present</v>
      </c>
    </row>
    <row r="207">
      <c r="A207" t="str">
        <f>IFERROR(__xludf.DUMMYFUNCTION("""COMPUTED_VALUE"""),"Stephen Petronio Company")</f>
        <v>Stephen Petronio Company</v>
      </c>
      <c r="B207" t="str">
        <f>IFERROR(__xludf.DUMMYFUNCTION("""COMPUTED_VALUE"""),"contemporary")</f>
        <v>contemporary</v>
      </c>
      <c r="C207" t="str">
        <f>IFERROR(__xludf.DUMMYFUNCTION("""COMPUTED_VALUE"""),"New York City, New York")</f>
        <v>New York City, New York</v>
      </c>
      <c r="D207" t="str">
        <f>IFERROR(__xludf.DUMMYFUNCTION("""COMPUTED_VALUE"""),"United States")</f>
        <v>United States</v>
      </c>
      <c r="E207" t="str">
        <f>IFERROR(__xludf.DUMMYFUNCTION("""COMPUTED_VALUE"""),"AD Stephen Petronio")</f>
        <v>AD Stephen Petronio</v>
      </c>
      <c r="F207" t="str">
        <f>IFERROR(__xludf.DUMMYFUNCTION("""COMPUTED_VALUE"""),"1984–present")</f>
        <v>1984–present</v>
      </c>
    </row>
    <row r="208">
      <c r="A208" t="str">
        <f>IFERROR(__xludf.DUMMYFUNCTION("""COMPUTED_VALUE"""),"Stuttgart Ballet")</f>
        <v>Stuttgart Ballet</v>
      </c>
      <c r="B208" t="str">
        <f>IFERROR(__xludf.DUMMYFUNCTION("""COMPUTED_VALUE"""),"ballet")</f>
        <v>ballet</v>
      </c>
      <c r="C208" t="str">
        <f>IFERROR(__xludf.DUMMYFUNCTION("""COMPUTED_VALUE"""),"Stuttgart")</f>
        <v>Stuttgart</v>
      </c>
      <c r="D208" t="str">
        <f>IFERROR(__xludf.DUMMYFUNCTION("""COMPUTED_VALUE"""),"Germany")</f>
        <v>Germany</v>
      </c>
      <c r="E208" t="str">
        <f>IFERROR(__xludf.DUMMYFUNCTION("""COMPUTED_VALUE"""),"AD Reid Anderson")</f>
        <v>AD Reid Anderson</v>
      </c>
      <c r="F208" t="str">
        <f>IFERROR(__xludf.DUMMYFUNCTION("""COMPUTED_VALUE"""),"1609–present")</f>
        <v>1609–present</v>
      </c>
    </row>
    <row r="209">
      <c r="A209" t="str">
        <f>IFERROR(__xludf.DUMMYFUNCTION("""COMPUTED_VALUE"""),"Suzanne Farrell Ballet")</f>
        <v>Suzanne Farrell Ballet</v>
      </c>
      <c r="B209" t="str">
        <f>IFERROR(__xludf.DUMMYFUNCTION("""COMPUTED_VALUE"""),"ballet")</f>
        <v>ballet</v>
      </c>
      <c r="C209" t="str">
        <f>IFERROR(__xludf.DUMMYFUNCTION("""COMPUTED_VALUE"""),"Washington, D.C.")</f>
        <v>Washington, D.C.</v>
      </c>
      <c r="D209" t="str">
        <f>IFERROR(__xludf.DUMMYFUNCTION("""COMPUTED_VALUE"""),"United States")</f>
        <v>United States</v>
      </c>
      <c r="E209" t="str">
        <f>IFERROR(__xludf.DUMMYFUNCTION("""COMPUTED_VALUE"""),"Founder Suzanne Farrell")</f>
        <v>Founder Suzanne Farrell</v>
      </c>
      <c r="F209" t="str">
        <f>IFERROR(__xludf.DUMMYFUNCTION("""COMPUTED_VALUE"""),"2000–present")</f>
        <v>2000–present</v>
      </c>
    </row>
    <row r="210">
      <c r="A210" t="str">
        <f>IFERROR(__xludf.DUMMYFUNCTION("""COMPUTED_VALUE"""),"Sydney Dance Company")</f>
        <v>Sydney Dance Company</v>
      </c>
      <c r="B210" t="str">
        <f>IFERROR(__xludf.DUMMYFUNCTION("""COMPUTED_VALUE"""),"contemporary")</f>
        <v>contemporary</v>
      </c>
      <c r="C210" t="str">
        <f>IFERROR(__xludf.DUMMYFUNCTION("""COMPUTED_VALUE"""),"Sydney")</f>
        <v>Sydney</v>
      </c>
      <c r="D210" t="str">
        <f>IFERROR(__xludf.DUMMYFUNCTION("""COMPUTED_VALUE"""),"Australia")</f>
        <v>Australia</v>
      </c>
      <c r="E210" t="str">
        <f>IFERROR(__xludf.DUMMYFUNCTION("""COMPUTED_VALUE"""),"- Founder Suzanne Musitz
   - AD Rafael Bonachela")</f>
        <v>- Founder Suzanne Musitz
   - AD Rafael Bonachela</v>
      </c>
      <c r="F210" t="str">
        <f>IFERROR(__xludf.DUMMYFUNCTION("""COMPUTED_VALUE"""),"1969–present")</f>
        <v>1969–present</v>
      </c>
    </row>
    <row r="211">
      <c r="A211" t="str">
        <f>IFERROR(__xludf.DUMMYFUNCTION("""COMPUTED_VALUE"""),"*Tanztheater Reinhild Hoffmann*")</f>
        <v>*Tanztheater Reinhild Hoffmann*</v>
      </c>
      <c r="B211" t="str">
        <f>IFERROR(__xludf.DUMMYFUNCTION("""COMPUTED_VALUE"""),"Tanztheater")</f>
        <v>Tanztheater</v>
      </c>
      <c r="C211" t="str">
        <f>IFERROR(__xludf.DUMMYFUNCTION("""COMPUTED_VALUE"""),"Hamburg (1978–86), Bochum (1986-1995)")</f>
        <v>Hamburg (1978–86), Bochum (1986-1995)</v>
      </c>
      <c r="D211" t="str">
        <f>IFERROR(__xludf.DUMMYFUNCTION("""COMPUTED_VALUE"""),"Germany")</f>
        <v>Germany</v>
      </c>
      <c r="E211" t="str">
        <f>IFERROR(__xludf.DUMMYFUNCTION("""COMPUTED_VALUE"""),"Founder &amp; AD Reinhild Hoffmann")</f>
        <v>Founder &amp; AD Reinhild Hoffmann</v>
      </c>
      <c r="F211" t="str">
        <f>IFERROR(__xludf.DUMMYFUNCTION("""COMPUTED_VALUE"""),"1978–1995")</f>
        <v>1978–1995</v>
      </c>
    </row>
    <row r="212">
      <c r="A212" t="str">
        <f>IFERROR(__xludf.DUMMYFUNCTION("""COMPUTED_VALUE"""),"*Tanztheater Wuppertal Pina Bausch* (formerly Wuppertal Opera Ballet)")</f>
        <v>*Tanztheater Wuppertal Pina Bausch* (formerly Wuppertal Opera Ballet)</v>
      </c>
      <c r="B212" t="str">
        <f>IFERROR(__xludf.DUMMYFUNCTION("""COMPUTED_VALUE"""),"Tanztheater")</f>
        <v>Tanztheater</v>
      </c>
      <c r="C212" t="str">
        <f>IFERROR(__xludf.DUMMYFUNCTION("""COMPUTED_VALUE"""),"Wuppertal")</f>
        <v>Wuppertal</v>
      </c>
      <c r="D212" t="str">
        <f>IFERROR(__xludf.DUMMYFUNCTION("""COMPUTED_VALUE"""),"Germany")</f>
        <v>Germany</v>
      </c>
      <c r="E212" t="str">
        <f>IFERROR(__xludf.DUMMYFUNCTION("""COMPUTED_VALUE"""),"AD (former) Pina Bausch,
Dominique Mercy &amp; Robert Sturm")</f>
        <v>AD (former) Pina Bausch,
Dominique Mercy &amp; Robert Sturm</v>
      </c>
      <c r="F212" t="str">
        <f>IFERROR(__xludf.DUMMYFUNCTION("""COMPUTED_VALUE"""),"1973–present")</f>
        <v>1973–present</v>
      </c>
    </row>
    <row r="213">
      <c r="A213" t="str">
        <f>IFERROR(__xludf.DUMMYFUNCTION("""COMPUTED_VALUE"""),"*El Teatro de Danza Contemporanea de El Salvador*")</f>
        <v>*El Teatro de Danza Contemporanea de El Salvador*</v>
      </c>
      <c r="B213" t="str">
        <f>IFERROR(__xludf.DUMMYFUNCTION("""COMPUTED_VALUE"""),"contemporary")</f>
        <v>contemporary</v>
      </c>
      <c r="C213" t="str">
        <f>IFERROR(__xludf.DUMMYFUNCTION("""COMPUTED_VALUE"""),"Washington, D.C. and San Salvador")</f>
        <v>Washington, D.C. and San Salvador</v>
      </c>
      <c r="D213" t="str">
        <f>IFERROR(__xludf.DUMMYFUNCTION("""COMPUTED_VALUE"""),"United States and San Salvador")</f>
        <v>United States and San Salvador</v>
      </c>
      <c r="E213" t="str">
        <f>IFERROR(__xludf.DUMMYFUNCTION("""COMPUTED_VALUE"""),"Founders Miya Hisaka Silva &amp; Francisco Castillo")</f>
        <v>Founders Miya Hisaka Silva &amp; Francisco Castillo</v>
      </c>
      <c r="F213" t="str">
        <f>IFERROR(__xludf.DUMMYFUNCTION("""COMPUTED_VALUE"""),"1994–present")</f>
        <v>1994–present</v>
      </c>
    </row>
    <row r="214">
      <c r="A214" t="str">
        <f>IFERROR(__xludf.DUMMYFUNCTION("""COMPUTED_VALUE"""),"Toronto Dance Theatre")</f>
        <v>Toronto Dance Theatre</v>
      </c>
      <c r="B214" t="str">
        <f>IFERROR(__xludf.DUMMYFUNCTION("""COMPUTED_VALUE"""),"contemporary")</f>
        <v>contemporary</v>
      </c>
      <c r="C214" t="str">
        <f>IFERROR(__xludf.DUMMYFUNCTION("""COMPUTED_VALUE"""),"Toronto, Ontario")</f>
        <v>Toronto, Ontario</v>
      </c>
      <c r="D214" t="str">
        <f>IFERROR(__xludf.DUMMYFUNCTION("""COMPUTED_VALUE"""),"Canada")</f>
        <v>Canada</v>
      </c>
      <c r="E214" t="str">
        <f>IFERROR(__xludf.DUMMYFUNCTION("""COMPUTED_VALUE"""),"AD Christopher House")</f>
        <v>AD Christopher House</v>
      </c>
      <c r="F214" t="str">
        <f>IFERROR(__xludf.DUMMYFUNCTION("""COMPUTED_VALUE"""),"1968–present")</f>
        <v>1968–present</v>
      </c>
    </row>
    <row r="215">
      <c r="A215" t="str">
        <f>IFERROR(__xludf.DUMMYFUNCTION("""COMPUTED_VALUE"""),"Totem Dance Group")</f>
        <v>Totem Dance Group</v>
      </c>
      <c r="B215" t="str">
        <f>IFERROR(__xludf.DUMMYFUNCTION("""COMPUTED_VALUE"""),"contemporary")</f>
        <v>contemporary</v>
      </c>
      <c r="C215" t="str">
        <f>IFERROR(__xludf.DUMMYFUNCTION("""COMPUTED_VALUE"""),"Kiev")</f>
        <v>Kiev</v>
      </c>
      <c r="D215" t="str">
        <f>IFERROR(__xludf.DUMMYFUNCTION("""COMPUTED_VALUE"""),"Ukraine")</f>
        <v>Ukraine</v>
      </c>
      <c r="E215" t="str">
        <f>IFERROR(__xludf.DUMMYFUNCTION("""COMPUTED_VALUE"""),"Founder Kristina Shyshkaryova")</f>
        <v>Founder Kristina Shyshkaryova</v>
      </c>
      <c r="F215" t="str">
        <f>IFERROR(__xludf.DUMMYFUNCTION("""COMPUTED_VALUE"""),"2010–present")</f>
        <v>2010–present</v>
      </c>
    </row>
    <row r="216">
      <c r="A216" t="str">
        <f>IFERROR(__xludf.DUMMYFUNCTION("""COMPUTED_VALUE"""),"Tracks Dance")</f>
        <v>Tracks Dance</v>
      </c>
      <c r="B216" t="str">
        <f>IFERROR(__xludf.DUMMYFUNCTION("""COMPUTED_VALUE"""),"contemporary")</f>
        <v>contemporary</v>
      </c>
      <c r="C216" t="str">
        <f>IFERROR(__xludf.DUMMYFUNCTION("""COMPUTED_VALUE"""),"Darwin, Northern Territory")</f>
        <v>Darwin, Northern Territory</v>
      </c>
      <c r="D216" t="str">
        <f>IFERROR(__xludf.DUMMYFUNCTION("""COMPUTED_VALUE"""),"Australia")</f>
        <v>Australia</v>
      </c>
      <c r="E216" t="str">
        <f>IFERROR(__xludf.DUMMYFUNCTION("""COMPUTED_VALUE"""),"")</f>
        <v/>
      </c>
      <c r="F216" t="str">
        <f>IFERROR(__xludf.DUMMYFUNCTION("""COMPUTED_VALUE"""),"1994–present")</f>
        <v>1994–present</v>
      </c>
    </row>
    <row r="217">
      <c r="A217" t="str">
        <f>IFERROR(__xludf.DUMMYFUNCTION("""COMPUTED_VALUE"""),"Trey McIntyre Project")</f>
        <v>Trey McIntyre Project</v>
      </c>
      <c r="B217" t="str">
        <f>IFERROR(__xludf.DUMMYFUNCTION("""COMPUTED_VALUE"""),"contemporary ballet")</f>
        <v>contemporary ballet</v>
      </c>
      <c r="C217" t="str">
        <f>IFERROR(__xludf.DUMMYFUNCTION("""COMPUTED_VALUE"""),"Boise, Idaho")</f>
        <v>Boise, Idaho</v>
      </c>
      <c r="D217" t="str">
        <f>IFERROR(__xludf.DUMMYFUNCTION("""COMPUTED_VALUE"""),"United States")</f>
        <v>United States</v>
      </c>
      <c r="E217" t="str">
        <f>IFERROR(__xludf.DUMMYFUNCTION("""COMPUTED_VALUE"""),"Founder &amp; AD Trey McIntyre")</f>
        <v>Founder &amp; AD Trey McIntyre</v>
      </c>
      <c r="F217" t="str">
        <f>IFERROR(__xludf.DUMMYFUNCTION("""COMPUTED_VALUE"""),"2008–present")</f>
        <v>2008–present</v>
      </c>
    </row>
    <row r="218">
      <c r="A218" t="str">
        <f>IFERROR(__xludf.DUMMYFUNCTION("""COMPUTED_VALUE"""),"Tulsa Ballet")</f>
        <v>Tulsa Ballet</v>
      </c>
      <c r="B218" t="str">
        <f>IFERROR(__xludf.DUMMYFUNCTION("""COMPUTED_VALUE"""),"ballet")</f>
        <v>ballet</v>
      </c>
      <c r="C218" t="str">
        <f>IFERROR(__xludf.DUMMYFUNCTION("""COMPUTED_VALUE"""),"Tulsa, Oklahoma")</f>
        <v>Tulsa, Oklahoma</v>
      </c>
      <c r="D218" t="str">
        <f>IFERROR(__xludf.DUMMYFUNCTION("""COMPUTED_VALUE"""),"United States")</f>
        <v>United States</v>
      </c>
      <c r="E218" t="str">
        <f>IFERROR(__xludf.DUMMYFUNCTION("""COMPUTED_VALUE"""),"AD Marcello Angelini")</f>
        <v>AD Marcello Angelini</v>
      </c>
      <c r="F218" t="str">
        <f>IFERROR(__xludf.DUMMYFUNCTION("""COMPUTED_VALUE"""),"1956–present")</f>
        <v>1956–present</v>
      </c>
    </row>
    <row r="219">
      <c r="A219" t="str">
        <f>IFERROR(__xludf.DUMMYFUNCTION("""COMPUTED_VALUE"""),"tumàka't Contemporary Dance")</f>
        <v>tumàka't Contemporary Dance</v>
      </c>
      <c r="B219" t="str">
        <f>IFERROR(__xludf.DUMMYFUNCTION("""COMPUTED_VALUE"""),"contemporary")</f>
        <v>contemporary</v>
      </c>
      <c r="C219" t="str">
        <f>IFERROR(__xludf.DUMMYFUNCTION("""COMPUTED_VALUE"""),"")</f>
        <v/>
      </c>
      <c r="D219" t="str">
        <f>IFERROR(__xludf.DUMMYFUNCTION("""COMPUTED_VALUE"""),"Mexico")</f>
        <v>Mexico</v>
      </c>
      <c r="E219" t="str">
        <f>IFERROR(__xludf.DUMMYFUNCTION("""COMPUTED_VALUE"""),"Founder Vania Duran")</f>
        <v>Founder Vania Duran</v>
      </c>
      <c r="F219" t="str">
        <f>IFERROR(__xludf.DUMMYFUNCTION("""COMPUTED_VALUE"""),"2007–present")</f>
        <v>2007–present</v>
      </c>
    </row>
    <row r="220">
      <c r="A220" t="str">
        <f>IFERROR(__xludf.DUMMYFUNCTION("""COMPUTED_VALUE"""),"Urban Bush Women")</f>
        <v>Urban Bush Women</v>
      </c>
      <c r="B220" t="str">
        <f>IFERROR(__xludf.DUMMYFUNCTION("""COMPUTED_VALUE"""),"various")</f>
        <v>various</v>
      </c>
      <c r="C220" t="str">
        <f>IFERROR(__xludf.DUMMYFUNCTION("""COMPUTED_VALUE"""),"Brooklyn, New York")</f>
        <v>Brooklyn, New York</v>
      </c>
      <c r="D220" t="str">
        <f>IFERROR(__xludf.DUMMYFUNCTION("""COMPUTED_VALUE"""),"United States")</f>
        <v>United States</v>
      </c>
      <c r="E220" t="str">
        <f>IFERROR(__xludf.DUMMYFUNCTION("""COMPUTED_VALUE"""),"Founder Jawole Jo Zollar.")</f>
        <v>Founder Jawole Jo Zollar.</v>
      </c>
      <c r="F220">
        <f>IFERROR(__xludf.DUMMYFUNCTION("""COMPUTED_VALUE"""),1984.0)</f>
        <v>1984</v>
      </c>
    </row>
    <row r="221">
      <c r="A221" t="str">
        <f>IFERROR(__xludf.DUMMYFUNCTION("""COMPUTED_VALUE"""),"Vienna State Ballet")</f>
        <v>Vienna State Ballet</v>
      </c>
      <c r="B221" t="str">
        <f>IFERROR(__xludf.DUMMYFUNCTION("""COMPUTED_VALUE"""),"ballet")</f>
        <v>ballet</v>
      </c>
      <c r="C221" t="str">
        <f>IFERROR(__xludf.DUMMYFUNCTION("""COMPUTED_VALUE"""),"Vienna")</f>
        <v>Vienna</v>
      </c>
      <c r="D221" t="str">
        <f>IFERROR(__xludf.DUMMYFUNCTION("""COMPUTED_VALUE"""),"Austria")</f>
        <v>Austria</v>
      </c>
      <c r="E221" t="str">
        <f>IFERROR(__xludf.DUMMYFUNCTION("""COMPUTED_VALUE"""),"")</f>
        <v/>
      </c>
      <c r="F221" t="str">
        <f>IFERROR(__xludf.DUMMYFUNCTION("""COMPUTED_VALUE"""),"")</f>
        <v/>
      </c>
    </row>
    <row r="222">
      <c r="A222" t="str">
        <f>IFERROR(__xludf.DUMMYFUNCTION("""COMPUTED_VALUE"""),"Washington Ballet")</f>
        <v>Washington Ballet</v>
      </c>
      <c r="B222" t="str">
        <f>IFERROR(__xludf.DUMMYFUNCTION("""COMPUTED_VALUE"""),"ballet")</f>
        <v>ballet</v>
      </c>
      <c r="C222" t="str">
        <f>IFERROR(__xludf.DUMMYFUNCTION("""COMPUTED_VALUE"""),"Washington, D.C.")</f>
        <v>Washington, D.C.</v>
      </c>
      <c r="D222" t="str">
        <f>IFERROR(__xludf.DUMMYFUNCTION("""COMPUTED_VALUE"""),"United States")</f>
        <v>United States</v>
      </c>
      <c r="E222" t="str">
        <f>IFERROR(__xludf.DUMMYFUNCTION("""COMPUTED_VALUE"""),"- Founder Mary Day
   - AD Septime Webre")</f>
        <v>- Founder Mary Day
   - AD Septime Webre</v>
      </c>
      <c r="F222" t="str">
        <f>IFERROR(__xludf.DUMMYFUNCTION("""COMPUTED_VALUE"""),"1976–present")</f>
        <v>1976–present</v>
      </c>
    </row>
    <row r="223">
      <c r="A223" t="str">
        <f>IFERROR(__xludf.DUMMYFUNCTION("""COMPUTED_VALUE"""),"West Australian Ballet")</f>
        <v>West Australian Ballet</v>
      </c>
      <c r="B223" t="str">
        <f>IFERROR(__xludf.DUMMYFUNCTION("""COMPUTED_VALUE"""),"ballet")</f>
        <v>ballet</v>
      </c>
      <c r="C223" t="str">
        <f>IFERROR(__xludf.DUMMYFUNCTION("""COMPUTED_VALUE"""),"Perth")</f>
        <v>Perth</v>
      </c>
      <c r="D223" t="str">
        <f>IFERROR(__xludf.DUMMYFUNCTION("""COMPUTED_VALUE"""),"Australia")</f>
        <v>Australia</v>
      </c>
      <c r="E223" t="str">
        <f>IFERROR(__xludf.DUMMYFUNCTION("""COMPUTED_VALUE"""),"Founder Madame Kira Bousloff")</f>
        <v>Founder Madame Kira Bousloff</v>
      </c>
      <c r="F223" t="str">
        <f>IFERROR(__xludf.DUMMYFUNCTION("""COMPUTED_VALUE"""),"1952–present")</f>
        <v>1952–present</v>
      </c>
    </row>
    <row r="224">
      <c r="A224" t="str">
        <f>IFERROR(__xludf.DUMMYFUNCTION("""COMPUTED_VALUE"""),"Whim W'Him")</f>
        <v>Whim W'Him</v>
      </c>
      <c r="B224" t="str">
        <f>IFERROR(__xludf.DUMMYFUNCTION("""COMPUTED_VALUE"""),"contemporary")</f>
        <v>contemporary</v>
      </c>
      <c r="C224" t="str">
        <f>IFERROR(__xludf.DUMMYFUNCTION("""COMPUTED_VALUE"""),"Seattle, WA")</f>
        <v>Seattle, WA</v>
      </c>
      <c r="D224" t="str">
        <f>IFERROR(__xludf.DUMMYFUNCTION("""COMPUTED_VALUE"""),"United States")</f>
        <v>United States</v>
      </c>
      <c r="E224" t="str">
        <f>IFERROR(__xludf.DUMMYFUNCTION("""COMPUTED_VALUE"""),"Founder Olivier Wevers")</f>
        <v>Founder Olivier Wevers</v>
      </c>
      <c r="F224" t="str">
        <f>IFERROR(__xludf.DUMMYFUNCTION("""COMPUTED_VALUE"""),"2009–present")</f>
        <v>2009–present</v>
      </c>
    </row>
    <row r="225">
      <c r="A225" t="str">
        <f>IFERROR(__xludf.DUMMYFUNCTION("""COMPUTED_VALUE"""),"White Oak Dance Project")</f>
        <v>White Oak Dance Project</v>
      </c>
      <c r="B225" t="str">
        <f>IFERROR(__xludf.DUMMYFUNCTION("""COMPUTED_VALUE"""),"modern")</f>
        <v>modern</v>
      </c>
      <c r="C225" t="str">
        <f>IFERROR(__xludf.DUMMYFUNCTION("""COMPUTED_VALUE"""),"")</f>
        <v/>
      </c>
      <c r="D225" t="str">
        <f>IFERROR(__xludf.DUMMYFUNCTION("""COMPUTED_VALUE"""),"United States")</f>
        <v>United States</v>
      </c>
      <c r="E225" t="str">
        <f>IFERROR(__xludf.DUMMYFUNCTION("""COMPUTED_VALUE"""),"Founders Mark Morris &amp; Mikhail Baryshnikov")</f>
        <v>Founders Mark Morris &amp; Mikhail Baryshnikov</v>
      </c>
      <c r="F225" t="str">
        <f>IFERROR(__xludf.DUMMYFUNCTION("""COMPUTED_VALUE"""),"1990–2002")</f>
        <v>1990–2002</v>
      </c>
    </row>
    <row r="226">
      <c r="A226" t="str">
        <f>IFERROR(__xludf.DUMMYFUNCTION("""COMPUTED_VALUE"""),"Whitey's Lindy Hoppers")</f>
        <v>Whitey's Lindy Hoppers</v>
      </c>
      <c r="B226" t="str">
        <f>IFERROR(__xludf.DUMMYFUNCTION("""COMPUTED_VALUE"""),"swing")</f>
        <v>swing</v>
      </c>
      <c r="C226" t="str">
        <f>IFERROR(__xludf.DUMMYFUNCTION("""COMPUTED_VALUE"""),"Harlem, New York City")</f>
        <v>Harlem, New York City</v>
      </c>
      <c r="D226" t="str">
        <f>IFERROR(__xludf.DUMMYFUNCTION("""COMPUTED_VALUE"""),"United States")</f>
        <v>United States</v>
      </c>
      <c r="E226" t="str">
        <f>IFERROR(__xludf.DUMMYFUNCTION("""COMPUTED_VALUE"""),"Founder Herbert ""Whitey"" White")</f>
        <v>Founder Herbert "Whitey" White</v>
      </c>
      <c r="F226" t="str">
        <f>IFERROR(__xludf.DUMMYFUNCTION("""COMPUTED_VALUE"""),"1935–1942")</f>
        <v>1935–1942</v>
      </c>
    </row>
    <row r="227">
      <c r="A227" t="str">
        <f>IFERROR(__xludf.DUMMYFUNCTION("""COMPUTED_VALUE"""),"Yacobson Ballet")</f>
        <v>Yacobson Ballet</v>
      </c>
      <c r="B227" t="str">
        <f>IFERROR(__xludf.DUMMYFUNCTION("""COMPUTED_VALUE"""),"ballet")</f>
        <v>ballet</v>
      </c>
      <c r="C227" t="str">
        <f>IFERROR(__xludf.DUMMYFUNCTION("""COMPUTED_VALUE"""),"")</f>
        <v/>
      </c>
      <c r="D227" t="str">
        <f>IFERROR(__xludf.DUMMYFUNCTION("""COMPUTED_VALUE"""),"Russia")</f>
        <v>Russia</v>
      </c>
      <c r="E227" t="str">
        <f>IFERROR(__xludf.DUMMYFUNCTION("""COMPUTED_VALUE"""),"Founder Leonid Yacobson")</f>
        <v>Founder Leonid Yacobson</v>
      </c>
      <c r="F227" t="str">
        <f>IFERROR(__xludf.DUMMYFUNCTION("""COMPUTED_VALUE"""),"1969–present")</f>
        <v>1969–present</v>
      </c>
    </row>
    <row r="228">
      <c r="A228" t="str">
        <f>IFERROR(__xludf.DUMMYFUNCTION("""COMPUTED_VALUE"""),"Yin Mei Dance")</f>
        <v>Yin Mei Dance</v>
      </c>
      <c r="B228" t="str">
        <f>IFERROR(__xludf.DUMMYFUNCTION("""COMPUTED_VALUE"""),"contemporary")</f>
        <v>contemporary</v>
      </c>
      <c r="C228" t="str">
        <f>IFERROR(__xludf.DUMMYFUNCTION("""COMPUTED_VALUE"""),"New York City")</f>
        <v>New York City</v>
      </c>
      <c r="D228" t="str">
        <f>IFERROR(__xludf.DUMMYFUNCTION("""COMPUTED_VALUE"""),"United States")</f>
        <v>United States</v>
      </c>
      <c r="E228" t="str">
        <f>IFERROR(__xludf.DUMMYFUNCTION("""COMPUTED_VALUE"""),"Founder Yin Mei")</f>
        <v>Founder Yin Mei</v>
      </c>
      <c r="F228" t="str">
        <f>IFERROR(__xludf.DUMMYFUNCTION("""COMPUTED_VALUE"""),"1995–present")</f>
        <v>1995–present</v>
      </c>
    </row>
    <row r="229">
      <c r="A229" t="str">
        <f>IFERROR(__xludf.DUMMYFUNCTION("""COMPUTED_VALUE"""),"Zero Visibility Corp")</f>
        <v>Zero Visibility Corp</v>
      </c>
      <c r="B229" t="str">
        <f>IFERROR(__xludf.DUMMYFUNCTION("""COMPUTED_VALUE"""),"contemporary")</f>
        <v>contemporary</v>
      </c>
      <c r="C229" t="str">
        <f>IFERROR(__xludf.DUMMYFUNCTION("""COMPUTED_VALUE"""),"Oslo")</f>
        <v>Oslo</v>
      </c>
      <c r="D229" t="str">
        <f>IFERROR(__xludf.DUMMYFUNCTION("""COMPUTED_VALUE"""),"Norway")</f>
        <v>Norway</v>
      </c>
      <c r="E229" t="str">
        <f>IFERROR(__xludf.DUMMYFUNCTION("""COMPUTED_VALUE"""),"Founders Ina Christel Johannessen &amp; Jens Sethzman")</f>
        <v>Founders Ina Christel Johannessen &amp; Jens Sethzman</v>
      </c>
      <c r="F229" t="str">
        <f>IFERROR(__xludf.DUMMYFUNCTION("""COMPUTED_VALUE"""),"1996–present")</f>
        <v>1996–present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</v>
      </c>
    </row>
  </sheetData>
  <hyperlinks>
    <hyperlink r:id="rId1" ref="B1"/>
  </hyperlinks>
  <drawing r:id="rId2"/>
</worksheet>
</file>