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"/>
    </mc:Choice>
  </mc:AlternateContent>
  <xr:revisionPtr revIDLastSave="0" documentId="13_ncr:1_{905E97F3-ABAB-4571-8A2D-F606295A84C7}" xr6:coauthVersionLast="45" xr6:coauthVersionMax="45" xr10:uidLastSave="{00000000-0000-0000-0000-000000000000}"/>
  <bookViews>
    <workbookView xWindow="10905" yWindow="1380" windowWidth="26520" windowHeight="13710" xr2:uid="{808976D5-C4FF-45A2-BEB4-323CC5B7ACDC}"/>
  </bookViews>
  <sheets>
    <sheet name="APPN Analysis" sheetId="1" r:id="rId1"/>
    <sheet name="Revenue Build" sheetId="2" r:id="rId2"/>
    <sheet name="IS" sheetId="3" r:id="rId3"/>
    <sheet name="BS" sheetId="4" r:id="rId4"/>
    <sheet name="WACC" sheetId="5" r:id="rId5"/>
    <sheet name="Comps" sheetId="6" r:id="rId6"/>
    <sheet name="DCF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8" l="1"/>
  <c r="D28" i="8"/>
  <c r="D32" i="8"/>
  <c r="L17" i="2"/>
  <c r="K17" i="2"/>
  <c r="J17" i="2"/>
  <c r="I17" i="2"/>
  <c r="J14" i="2"/>
  <c r="K14" i="2"/>
  <c r="L14" i="2" s="1"/>
  <c r="I14" i="2"/>
  <c r="D68" i="8" l="1"/>
  <c r="D67" i="8" s="1"/>
  <c r="D66" i="8" s="1"/>
  <c r="D65" i="8" s="1"/>
  <c r="D69" i="8"/>
  <c r="D72" i="8"/>
  <c r="D73" i="8"/>
  <c r="D74" i="8" s="1"/>
  <c r="D75" i="8" s="1"/>
  <c r="D71" i="8"/>
  <c r="L64" i="8"/>
  <c r="M64" i="8" s="1"/>
  <c r="N64" i="8" s="1"/>
  <c r="O64" i="8" s="1"/>
  <c r="K64" i="8"/>
  <c r="I64" i="8"/>
  <c r="H64" i="8" s="1"/>
  <c r="G64" i="8" s="1"/>
  <c r="F64" i="8" s="1"/>
  <c r="E64" i="8" s="1"/>
  <c r="L49" i="8"/>
  <c r="M49" i="8"/>
  <c r="N49" i="8" s="1"/>
  <c r="O49" i="8" s="1"/>
  <c r="K49" i="8"/>
  <c r="H49" i="8"/>
  <c r="G49" i="8" s="1"/>
  <c r="F49" i="8" s="1"/>
  <c r="E49" i="8" s="1"/>
  <c r="I49" i="8"/>
  <c r="D57" i="8"/>
  <c r="D58" i="8"/>
  <c r="D59" i="8" s="1"/>
  <c r="D60" i="8" s="1"/>
  <c r="D56" i="8"/>
  <c r="D53" i="8"/>
  <c r="D52" i="8" s="1"/>
  <c r="D51" i="8" s="1"/>
  <c r="D50" i="8" s="1"/>
  <c r="D54" i="8"/>
  <c r="J15" i="6" l="1"/>
  <c r="M31" i="6"/>
  <c r="L30" i="6"/>
  <c r="L31" i="6" s="1"/>
  <c r="L29" i="6"/>
  <c r="J21" i="6" l="1"/>
  <c r="J22" i="6"/>
  <c r="J23" i="6"/>
  <c r="J24" i="6"/>
  <c r="J25" i="6"/>
  <c r="J20" i="6"/>
  <c r="J18" i="6"/>
  <c r="J17" i="6"/>
  <c r="J16" i="6"/>
  <c r="J12" i="6"/>
  <c r="J11" i="6"/>
  <c r="J10" i="6"/>
  <c r="J7" i="6"/>
  <c r="H42" i="8" l="1"/>
  <c r="D43" i="8"/>
  <c r="H37" i="8"/>
  <c r="H36" i="8"/>
  <c r="D40" i="8"/>
  <c r="H39" i="8" s="1"/>
  <c r="D38" i="8"/>
  <c r="D37" i="8"/>
  <c r="I13" i="2"/>
  <c r="J13" i="2"/>
  <c r="K13" i="2" s="1"/>
  <c r="L13" i="2" s="1"/>
  <c r="H13" i="2"/>
  <c r="I18" i="2"/>
  <c r="J18" i="2"/>
  <c r="K18" i="2"/>
  <c r="L18" i="2"/>
  <c r="E21" i="8"/>
  <c r="F21" i="8"/>
  <c r="G21" i="8"/>
  <c r="H21" i="8"/>
  <c r="E19" i="8"/>
  <c r="F19" i="8"/>
  <c r="F20" i="8" s="1"/>
  <c r="G19" i="8"/>
  <c r="H19" i="8"/>
  <c r="H20" i="8" s="1"/>
  <c r="D19" i="8"/>
  <c r="F16" i="8"/>
  <c r="H16" i="8"/>
  <c r="E15" i="8"/>
  <c r="E16" i="8" s="1"/>
  <c r="F15" i="8"/>
  <c r="G15" i="8"/>
  <c r="G16" i="8" s="1"/>
  <c r="H15" i="8"/>
  <c r="D15" i="8"/>
  <c r="D16" i="8" s="1"/>
  <c r="F14" i="8"/>
  <c r="H14" i="8"/>
  <c r="E13" i="8"/>
  <c r="E14" i="8" s="1"/>
  <c r="F13" i="8"/>
  <c r="F17" i="8" s="1"/>
  <c r="F22" i="8" s="1"/>
  <c r="G13" i="8"/>
  <c r="G14" i="8" s="1"/>
  <c r="H13" i="8"/>
  <c r="H17" i="8" s="1"/>
  <c r="H22" i="8" s="1"/>
  <c r="D13" i="8"/>
  <c r="D14" i="8" s="1"/>
  <c r="E11" i="8"/>
  <c r="E10" i="8"/>
  <c r="F10" i="8"/>
  <c r="F11" i="8" s="1"/>
  <c r="G10" i="8"/>
  <c r="H10" i="8"/>
  <c r="H11" i="8" s="1"/>
  <c r="D10" i="8"/>
  <c r="E7" i="8"/>
  <c r="E8" i="8" s="1"/>
  <c r="F7" i="8"/>
  <c r="G7" i="8"/>
  <c r="G8" i="8" s="1"/>
  <c r="H7" i="8"/>
  <c r="D7" i="8"/>
  <c r="D20" i="8" s="1"/>
  <c r="J17" i="4"/>
  <c r="K17" i="4" s="1"/>
  <c r="L17" i="4" s="1"/>
  <c r="M17" i="4" s="1"/>
  <c r="H17" i="4"/>
  <c r="G17" i="4"/>
  <c r="F17" i="4"/>
  <c r="E17" i="4"/>
  <c r="D17" i="4"/>
  <c r="D25" i="6"/>
  <c r="E25" i="6"/>
  <c r="F25" i="6"/>
  <c r="G25" i="6"/>
  <c r="H25" i="6"/>
  <c r="I25" i="6"/>
  <c r="K25" i="6"/>
  <c r="L25" i="6"/>
  <c r="M25" i="6"/>
  <c r="D24" i="6"/>
  <c r="E24" i="6"/>
  <c r="F24" i="6"/>
  <c r="G24" i="6"/>
  <c r="H24" i="6"/>
  <c r="I24" i="6"/>
  <c r="K24" i="6"/>
  <c r="L24" i="6"/>
  <c r="M24" i="6"/>
  <c r="D23" i="6"/>
  <c r="E23" i="6"/>
  <c r="F23" i="6"/>
  <c r="G23" i="6"/>
  <c r="H23" i="6"/>
  <c r="I23" i="6"/>
  <c r="K23" i="6"/>
  <c r="L23" i="6"/>
  <c r="M23" i="6"/>
  <c r="D22" i="6"/>
  <c r="E22" i="6"/>
  <c r="F22" i="6"/>
  <c r="G22" i="6"/>
  <c r="H22" i="6"/>
  <c r="I22" i="6"/>
  <c r="K22" i="6"/>
  <c r="L22" i="6"/>
  <c r="M22" i="6"/>
  <c r="D21" i="6"/>
  <c r="E21" i="6"/>
  <c r="F21" i="6"/>
  <c r="G21" i="6"/>
  <c r="H21" i="6"/>
  <c r="I21" i="6"/>
  <c r="K21" i="6"/>
  <c r="L21" i="6"/>
  <c r="M21" i="6"/>
  <c r="L20" i="6"/>
  <c r="K20" i="6"/>
  <c r="I20" i="6"/>
  <c r="H20" i="6"/>
  <c r="G20" i="6"/>
  <c r="F20" i="6"/>
  <c r="E20" i="6"/>
  <c r="D20" i="6"/>
  <c r="C7" i="6"/>
  <c r="C20" i="6" s="1"/>
  <c r="K10" i="5"/>
  <c r="C24" i="6" l="1"/>
  <c r="C21" i="6"/>
  <c r="C22" i="6"/>
  <c r="C23" i="6"/>
  <c r="C25" i="6"/>
  <c r="H8" i="8"/>
  <c r="F8" i="8"/>
  <c r="G11" i="8"/>
  <c r="D17" i="8"/>
  <c r="D22" i="8" s="1"/>
  <c r="G17" i="8"/>
  <c r="G22" i="8" s="1"/>
  <c r="E17" i="8"/>
  <c r="E22" i="8" s="1"/>
  <c r="G20" i="8"/>
  <c r="E20" i="8"/>
  <c r="F18" i="5"/>
  <c r="F17" i="5"/>
  <c r="F16" i="5"/>
  <c r="F15" i="5"/>
  <c r="F11" i="5"/>
  <c r="F12" i="5"/>
  <c r="F10" i="5"/>
  <c r="F7" i="5" s="1"/>
  <c r="G7" i="5" s="1"/>
  <c r="K8" i="5" s="1"/>
  <c r="K11" i="5" s="1"/>
  <c r="K23" i="5"/>
  <c r="K19" i="5"/>
  <c r="H47" i="4"/>
  <c r="G47" i="4"/>
  <c r="F47" i="4"/>
  <c r="E47" i="4"/>
  <c r="I10" i="4"/>
  <c r="K10" i="4"/>
  <c r="L10" i="4" s="1"/>
  <c r="M10" i="4" s="1"/>
  <c r="J10" i="4"/>
  <c r="E33" i="4"/>
  <c r="E39" i="4" s="1"/>
  <c r="E44" i="4" s="1"/>
  <c r="F33" i="4"/>
  <c r="F39" i="4" s="1"/>
  <c r="F44" i="4" s="1"/>
  <c r="G33" i="4"/>
  <c r="G39" i="4" s="1"/>
  <c r="G44" i="4" s="1"/>
  <c r="H33" i="4"/>
  <c r="H39" i="4" s="1"/>
  <c r="H44" i="4" s="1"/>
  <c r="D33" i="4"/>
  <c r="D39" i="4" s="1"/>
  <c r="D44" i="4" s="1"/>
  <c r="I30" i="4"/>
  <c r="J30" i="4" s="1"/>
  <c r="K30" i="4" s="1"/>
  <c r="L30" i="4" s="1"/>
  <c r="M30" i="4" s="1"/>
  <c r="J32" i="4"/>
  <c r="J29" i="4"/>
  <c r="E32" i="4"/>
  <c r="F32" i="4"/>
  <c r="G32" i="4"/>
  <c r="H32" i="4"/>
  <c r="D32" i="4"/>
  <c r="E29" i="4"/>
  <c r="F29" i="4"/>
  <c r="G29" i="4"/>
  <c r="H29" i="4"/>
  <c r="D29" i="4"/>
  <c r="J12" i="4"/>
  <c r="K12" i="4" s="1"/>
  <c r="E12" i="4"/>
  <c r="F12" i="4"/>
  <c r="G12" i="4"/>
  <c r="H12" i="4"/>
  <c r="D12" i="4"/>
  <c r="E13" i="4"/>
  <c r="E23" i="4" s="1"/>
  <c r="F13" i="4"/>
  <c r="F23" i="4" s="1"/>
  <c r="G13" i="4"/>
  <c r="G23" i="4" s="1"/>
  <c r="H13" i="4"/>
  <c r="H23" i="4" s="1"/>
  <c r="D13" i="4"/>
  <c r="D23" i="4" s="1"/>
  <c r="E29" i="3"/>
  <c r="F29" i="3"/>
  <c r="G29" i="3"/>
  <c r="H29" i="3"/>
  <c r="D29" i="3"/>
  <c r="M24" i="3"/>
  <c r="E24" i="3"/>
  <c r="G24" i="3"/>
  <c r="E22" i="3"/>
  <c r="E25" i="3" s="1"/>
  <c r="F22" i="3"/>
  <c r="F24" i="3" s="1"/>
  <c r="G22" i="3"/>
  <c r="G25" i="3" s="1"/>
  <c r="H22" i="3"/>
  <c r="H24" i="3" s="1"/>
  <c r="D22" i="3"/>
  <c r="D25" i="3" s="1"/>
  <c r="J11" i="3"/>
  <c r="K11" i="3" s="1"/>
  <c r="L11" i="3" s="1"/>
  <c r="M11" i="3" s="1"/>
  <c r="K15" i="3"/>
  <c r="L15" i="3"/>
  <c r="M15" i="3" s="1"/>
  <c r="J15" i="3"/>
  <c r="K17" i="3"/>
  <c r="L17" i="3"/>
  <c r="M17" i="3" s="1"/>
  <c r="J17" i="3"/>
  <c r="E18" i="3"/>
  <c r="F18" i="3"/>
  <c r="G18" i="3"/>
  <c r="H18" i="3"/>
  <c r="E13" i="3"/>
  <c r="F13" i="3"/>
  <c r="G13" i="3"/>
  <c r="H13" i="3"/>
  <c r="D13" i="3"/>
  <c r="E12" i="3"/>
  <c r="F12" i="3"/>
  <c r="G12" i="3"/>
  <c r="H12" i="3"/>
  <c r="D12" i="3"/>
  <c r="I15" i="3"/>
  <c r="I17" i="3"/>
  <c r="E17" i="3"/>
  <c r="F17" i="3"/>
  <c r="G17" i="3"/>
  <c r="H17" i="3"/>
  <c r="D17" i="3"/>
  <c r="E15" i="3"/>
  <c r="F15" i="3"/>
  <c r="G15" i="3"/>
  <c r="H15" i="3"/>
  <c r="D15" i="3"/>
  <c r="E11" i="3"/>
  <c r="F11" i="3"/>
  <c r="G11" i="3"/>
  <c r="H11" i="3"/>
  <c r="D11" i="3"/>
  <c r="F8" i="3"/>
  <c r="G8" i="3"/>
  <c r="H8" i="3"/>
  <c r="E8" i="3"/>
  <c r="F7" i="3"/>
  <c r="G7" i="3"/>
  <c r="H7" i="3"/>
  <c r="E7" i="3"/>
  <c r="I20" i="2"/>
  <c r="J20" i="2"/>
  <c r="K20" i="2" s="1"/>
  <c r="L20" i="2" s="1"/>
  <c r="H20" i="2"/>
  <c r="H18" i="2"/>
  <c r="H17" i="2"/>
  <c r="I16" i="2"/>
  <c r="J16" i="2"/>
  <c r="K16" i="2" s="1"/>
  <c r="L16" i="2" s="1"/>
  <c r="H16" i="2"/>
  <c r="H15" i="2"/>
  <c r="I15" i="2" s="1"/>
  <c r="H12" i="2"/>
  <c r="H14" i="2"/>
  <c r="K20" i="5" l="1"/>
  <c r="K13" i="5"/>
  <c r="K14" i="5" s="1"/>
  <c r="K16" i="5" s="1"/>
  <c r="K24" i="5"/>
  <c r="J27" i="5" s="1"/>
  <c r="K32" i="4"/>
  <c r="K29" i="4"/>
  <c r="L12" i="4"/>
  <c r="D24" i="3"/>
  <c r="I24" i="3" s="1"/>
  <c r="H25" i="3"/>
  <c r="F25" i="3"/>
  <c r="I12" i="2"/>
  <c r="J12" i="2" s="1"/>
  <c r="K12" i="2" s="1"/>
  <c r="L12" i="2" s="1"/>
  <c r="J15" i="2"/>
  <c r="K15" i="2" s="1"/>
  <c r="L15" i="2" s="1"/>
  <c r="G18" i="2"/>
  <c r="F18" i="2"/>
  <c r="E18" i="2"/>
  <c r="G16" i="2"/>
  <c r="F16" i="2"/>
  <c r="E16" i="2"/>
  <c r="E13" i="2"/>
  <c r="F13" i="2"/>
  <c r="G13" i="2"/>
  <c r="E20" i="2"/>
  <c r="E11" i="2"/>
  <c r="E8" i="2"/>
  <c r="L29" i="4" l="1"/>
  <c r="L32" i="4"/>
  <c r="M12" i="4"/>
  <c r="J24" i="3"/>
  <c r="K24" i="3" s="1"/>
  <c r="G20" i="2"/>
  <c r="F20" i="2"/>
  <c r="G11" i="2"/>
  <c r="F11" i="2"/>
  <c r="G8" i="2"/>
  <c r="F8" i="2"/>
  <c r="M32" i="4" l="1"/>
  <c r="M29" i="4"/>
  <c r="H19" i="2"/>
  <c r="I19" i="2" l="1"/>
  <c r="J19" i="2" l="1"/>
  <c r="K19" i="2" l="1"/>
  <c r="L19" i="2" l="1"/>
  <c r="H10" i="2" l="1"/>
  <c r="H7" i="2" l="1"/>
  <c r="I7" i="3" s="1"/>
  <c r="H11" i="2"/>
  <c r="I7" i="8" l="1"/>
  <c r="I8" i="8" s="1"/>
  <c r="I16" i="4"/>
  <c r="I19" i="8" s="1"/>
  <c r="I14" i="3"/>
  <c r="I11" i="4"/>
  <c r="I16" i="3"/>
  <c r="I10" i="3"/>
  <c r="I12" i="3" s="1"/>
  <c r="I8" i="3"/>
  <c r="H8" i="2"/>
  <c r="L10" i="2"/>
  <c r="L7" i="2" s="1"/>
  <c r="M7" i="3" s="1"/>
  <c r="K10" i="2"/>
  <c r="K7" i="2" s="1"/>
  <c r="L7" i="3" s="1"/>
  <c r="J10" i="2"/>
  <c r="J7" i="2" s="1"/>
  <c r="K7" i="3" s="1"/>
  <c r="I10" i="2"/>
  <c r="I7" i="2" s="1"/>
  <c r="I20" i="8" l="1"/>
  <c r="I10" i="8"/>
  <c r="I11" i="8" s="1"/>
  <c r="K7" i="8"/>
  <c r="K16" i="4"/>
  <c r="K19" i="8" s="1"/>
  <c r="K10" i="3"/>
  <c r="K12" i="3" s="1"/>
  <c r="K11" i="4"/>
  <c r="K14" i="3"/>
  <c r="K16" i="3"/>
  <c r="M7" i="8"/>
  <c r="D31" i="8" s="1"/>
  <c r="M16" i="4"/>
  <c r="M19" i="8" s="1"/>
  <c r="M8" i="3"/>
  <c r="M10" i="3"/>
  <c r="M12" i="3" s="1"/>
  <c r="M14" i="3"/>
  <c r="M16" i="3"/>
  <c r="M11" i="4"/>
  <c r="I13" i="4"/>
  <c r="I23" i="4" s="1"/>
  <c r="I8" i="2"/>
  <c r="J7" i="3"/>
  <c r="L16" i="4"/>
  <c r="L19" i="8" s="1"/>
  <c r="L7" i="8"/>
  <c r="L8" i="3"/>
  <c r="L14" i="3"/>
  <c r="L16" i="3"/>
  <c r="L10" i="3"/>
  <c r="L12" i="3" s="1"/>
  <c r="L11" i="4"/>
  <c r="I28" i="4"/>
  <c r="I33" i="4" s="1"/>
  <c r="I39" i="4" s="1"/>
  <c r="I44" i="4" s="1"/>
  <c r="I31" i="4"/>
  <c r="I13" i="3"/>
  <c r="I18" i="3" s="1"/>
  <c r="K8" i="2"/>
  <c r="J8" i="2"/>
  <c r="L8" i="2"/>
  <c r="I11" i="2"/>
  <c r="L11" i="2"/>
  <c r="J11" i="2"/>
  <c r="K11" i="2"/>
  <c r="D18" i="3"/>
  <c r="L8" i="8" l="1"/>
  <c r="K20" i="8"/>
  <c r="I29" i="3"/>
  <c r="I13" i="8" s="1"/>
  <c r="I22" i="3"/>
  <c r="I23" i="3" s="1"/>
  <c r="L10" i="8"/>
  <c r="L31" i="4"/>
  <c r="L28" i="4"/>
  <c r="J16" i="4"/>
  <c r="J19" i="8" s="1"/>
  <c r="J7" i="8"/>
  <c r="J8" i="8" s="1"/>
  <c r="J10" i="3"/>
  <c r="J12" i="3" s="1"/>
  <c r="J10" i="8" s="1"/>
  <c r="J11" i="8" s="1"/>
  <c r="J8" i="3"/>
  <c r="J14" i="3"/>
  <c r="J11" i="4"/>
  <c r="J16" i="3"/>
  <c r="J13" i="3" s="1"/>
  <c r="J18" i="3" s="1"/>
  <c r="I47" i="4"/>
  <c r="I21" i="8" s="1"/>
  <c r="M13" i="4"/>
  <c r="M23" i="4" s="1"/>
  <c r="M28" i="4"/>
  <c r="M47" i="4" s="1"/>
  <c r="M21" i="8" s="1"/>
  <c r="M31" i="4"/>
  <c r="M8" i="8"/>
  <c r="K28" i="4"/>
  <c r="K31" i="4"/>
  <c r="K10" i="8"/>
  <c r="K11" i="8" s="1"/>
  <c r="L13" i="4"/>
  <c r="L23" i="4" s="1"/>
  <c r="L13" i="3"/>
  <c r="L18" i="3" s="1"/>
  <c r="L20" i="8"/>
  <c r="M13" i="3"/>
  <c r="M10" i="8"/>
  <c r="M11" i="8" s="1"/>
  <c r="M18" i="3"/>
  <c r="M20" i="8"/>
  <c r="K13" i="3"/>
  <c r="K18" i="3" s="1"/>
  <c r="K13" i="4"/>
  <c r="K23" i="4" s="1"/>
  <c r="K8" i="3"/>
  <c r="K8" i="8"/>
  <c r="K33" i="4" l="1"/>
  <c r="K39" i="4" s="1"/>
  <c r="K44" i="4" s="1"/>
  <c r="L33" i="4"/>
  <c r="L39" i="4" s="1"/>
  <c r="L44" i="4" s="1"/>
  <c r="K29" i="3"/>
  <c r="K13" i="8" s="1"/>
  <c r="K22" i="3"/>
  <c r="K23" i="3" s="1"/>
  <c r="L29" i="3"/>
  <c r="L13" i="8" s="1"/>
  <c r="L22" i="3"/>
  <c r="L23" i="3" s="1"/>
  <c r="M29" i="3"/>
  <c r="M13" i="8" s="1"/>
  <c r="D33" i="8" s="1"/>
  <c r="M22" i="3"/>
  <c r="M23" i="3" s="1"/>
  <c r="J13" i="4"/>
  <c r="J23" i="4" s="1"/>
  <c r="I25" i="3"/>
  <c r="I15" i="8"/>
  <c r="I16" i="8" s="1"/>
  <c r="L47" i="4"/>
  <c r="L21" i="8" s="1"/>
  <c r="M33" i="4"/>
  <c r="M39" i="4" s="1"/>
  <c r="M44" i="4" s="1"/>
  <c r="J29" i="3"/>
  <c r="J13" i="8" s="1"/>
  <c r="J22" i="3"/>
  <c r="J23" i="3" s="1"/>
  <c r="J31" i="4"/>
  <c r="J28" i="4"/>
  <c r="J20" i="8"/>
  <c r="L11" i="8"/>
  <c r="I14" i="8"/>
  <c r="D34" i="8" l="1"/>
  <c r="I17" i="8"/>
  <c r="I22" i="8" s="1"/>
  <c r="I24" i="8" s="1"/>
  <c r="J14" i="8"/>
  <c r="M25" i="3"/>
  <c r="M15" i="8"/>
  <c r="M16" i="8" s="1"/>
  <c r="L25" i="3"/>
  <c r="L15" i="8"/>
  <c r="L16" i="8" s="1"/>
  <c r="K25" i="3"/>
  <c r="K15" i="8"/>
  <c r="K16" i="8" s="1"/>
  <c r="J33" i="4"/>
  <c r="J39" i="4" s="1"/>
  <c r="J44" i="4" s="1"/>
  <c r="J25" i="3"/>
  <c r="J15" i="8"/>
  <c r="J16" i="8" s="1"/>
  <c r="K47" i="4"/>
  <c r="K21" i="8" s="1"/>
  <c r="J47" i="4"/>
  <c r="J21" i="8" s="1"/>
  <c r="M17" i="8"/>
  <c r="M22" i="8" s="1"/>
  <c r="M14" i="8"/>
  <c r="L17" i="8"/>
  <c r="L22" i="8" s="1"/>
  <c r="L24" i="8" s="1"/>
  <c r="L14" i="8"/>
  <c r="K17" i="8"/>
  <c r="K22" i="8" s="1"/>
  <c r="K24" i="8" s="1"/>
  <c r="K14" i="8"/>
  <c r="M24" i="8" l="1"/>
  <c r="H32" i="8"/>
  <c r="H33" i="8" s="1"/>
  <c r="D45" i="8"/>
  <c r="J17" i="8"/>
  <c r="J22" i="8" s="1"/>
  <c r="J24" i="8" s="1"/>
  <c r="D30" i="8" s="1"/>
  <c r="H34" i="8" l="1"/>
  <c r="H44" i="8"/>
  <c r="H30" i="8"/>
  <c r="H35" i="8" s="1"/>
  <c r="H38" i="8" s="1"/>
  <c r="H41" i="8" s="1"/>
  <c r="D36" i="8"/>
  <c r="D39" i="8" s="1"/>
  <c r="D42" i="8" s="1"/>
  <c r="H43" i="8" l="1"/>
  <c r="D64" i="8"/>
  <c r="D44" i="8"/>
  <c r="D4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Anshul Rana</author>
  </authors>
  <commentList>
    <comment ref="D5" authorId="0" shapeId="0" xr:uid="{BE4355F9-1379-47C4-B973-55D09267AE32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Started at 2016 rather than 2015 because new  revenue recognition format was not present in 2015</t>
        </r>
      </text>
    </comment>
    <comment ref="H13" authorId="0" shapeId="0" xr:uid="{36788C6F-A95C-4288-BCAA-3629F50FADF7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Declining over time as the company gains more and more subscribers, levels out more</t>
        </r>
      </text>
    </comment>
    <comment ref="H14" authorId="0" shapeId="0" xr:uid="{A36FFCAA-3FA8-48C0-9C2D-D141011936BC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Retention is somewhat cyclical so I am using the average and keeping that for every year since it is hard to predict</t>
        </r>
      </text>
    </comment>
    <comment ref="H16" authorId="0" shapeId="0" xr:uid="{37FCF1B4-F58A-4AF3-BA42-D1D692835DD0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A small part of revenue, slowly, but steadily increases at a decreasing rate</t>
        </r>
      </text>
    </comment>
    <comment ref="H17" authorId="0" shapeId="0" xr:uid="{D77D9559-FE91-48A3-A0A3-9583B391753A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Used a linear regression that calculated maintenance and support from retention rate (y=0.6141x-58.72)</t>
        </r>
      </text>
    </comment>
    <comment ref="H20" authorId="0" shapeId="0" xr:uid="{B25BE84A-2982-40A5-BA93-34436D3CE16B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The professional services seems to follow a pattern of halving every year so I stretched it out until 2024 in the same manner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Anshul Rana</author>
  </authors>
  <commentList>
    <comment ref="I15" authorId="0" shapeId="0" xr:uid="{FB30E43D-66B8-4B0E-9984-C824FCCFD0F8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Started with average and decreased by 3% yearly as economies of scale continue</t>
        </r>
      </text>
    </comment>
    <comment ref="I17" authorId="0" shapeId="0" xr:uid="{9BBEC0ED-8B39-4BC1-8A9E-F5C2570F4D6C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Started with average and decreased by 3% yearly as economies of scale continue</t>
        </r>
      </text>
    </comment>
    <comment ref="C29" authorId="0" shapeId="0" xr:uid="{A115EE16-B038-4A06-B141-E1432711A809}">
      <text>
        <r>
          <rPr>
            <b/>
            <sz val="9"/>
            <color indexed="81"/>
            <rFont val="Tahoma"/>
            <family val="2"/>
          </rPr>
          <t>Anshul Rana:</t>
        </r>
        <r>
          <rPr>
            <sz val="9"/>
            <color indexed="81"/>
            <rFont val="Tahoma"/>
            <family val="2"/>
          </rPr>
          <t xml:space="preserve">
Company has no depreciation and ammortization</t>
        </r>
      </text>
    </comment>
  </commentList>
</comments>
</file>

<file path=xl/sharedStrings.xml><?xml version="1.0" encoding="utf-8"?>
<sst xmlns="http://schemas.openxmlformats.org/spreadsheetml/2006/main" count="309" uniqueCount="179">
  <si>
    <t>Maize and Blue Endowment Fund App</t>
  </si>
  <si>
    <t>Anshul Rana</t>
  </si>
  <si>
    <t xml:space="preserve">Share Price(as of 09/21/2020): </t>
  </si>
  <si>
    <t xml:space="preserve">Stock: </t>
  </si>
  <si>
    <t>NASDAQ:APPN</t>
  </si>
  <si>
    <t>Revenue Build</t>
  </si>
  <si>
    <t>Appian</t>
  </si>
  <si>
    <t>In Millions of USD except Per Share</t>
  </si>
  <si>
    <t>FY 2017</t>
  </si>
  <si>
    <t>FY 2018</t>
  </si>
  <si>
    <t>FY 2019</t>
  </si>
  <si>
    <t>FY 2020P</t>
  </si>
  <si>
    <t>FY 2021P</t>
  </si>
  <si>
    <t>FY 2022P</t>
  </si>
  <si>
    <t>FY 2023P</t>
  </si>
  <si>
    <t>FY 2024P</t>
  </si>
  <si>
    <t>12 Months Ending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</si>
  <si>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</si>
  <si>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</si>
  <si>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</si>
  <si>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</si>
  <si>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</si>
  <si>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</si>
  <si>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</si>
  <si>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12/31/2024</t>
  </si>
  <si>
    <t>%Growth</t>
  </si>
  <si>
    <t>Income Statement</t>
  </si>
  <si>
    <t>Balance Sheet</t>
  </si>
  <si>
    <t>WACC</t>
  </si>
  <si>
    <t>Comparable Companies Analysis</t>
  </si>
  <si>
    <t>Discounted Cash Flow Analysis</t>
  </si>
  <si>
    <t>FY 2016</t>
  </si>
  <si>
    <t>FY 2015</t>
  </si>
  <si>
    <t>Revenue by Type</t>
  </si>
  <si>
    <t>Subscriptions</t>
  </si>
  <si>
    <t>Professional Services</t>
  </si>
  <si>
    <t xml:space="preserve">    SaaS Cloud Subscription Revenue</t>
  </si>
  <si>
    <t xml:space="preserve">    %Growth</t>
  </si>
  <si>
    <t xml:space="preserve">    %Retention</t>
  </si>
  <si>
    <t xml:space="preserve">    Term License Subscriptions Revenue</t>
  </si>
  <si>
    <t>Maintenance and Support</t>
  </si>
  <si>
    <t>Total Revenue</t>
  </si>
  <si>
    <t>% Growth</t>
  </si>
  <si>
    <t>Cost of Revenue</t>
  </si>
  <si>
    <t>COGS</t>
  </si>
  <si>
    <t xml:space="preserve">% Revenue </t>
  </si>
  <si>
    <t>Gross Profit</t>
  </si>
  <si>
    <t>Operating Expenses</t>
  </si>
  <si>
    <t xml:space="preserve">    Selling General &amp; Administrative </t>
  </si>
  <si>
    <t xml:space="preserve">    Research &amp; Development</t>
  </si>
  <si>
    <t xml:space="preserve">    % Revenue </t>
  </si>
  <si>
    <t>Gross Income (Loss)</t>
  </si>
  <si>
    <t>-</t>
  </si>
  <si>
    <t>Nonoperating Income - Net</t>
  </si>
  <si>
    <t>Unusual Expense - Net</t>
  </si>
  <si>
    <t>Interest - Net</t>
  </si>
  <si>
    <t>Income Before Income Taxes</t>
  </si>
  <si>
    <t>Income Taxes (Benefit)</t>
  </si>
  <si>
    <t>% of Income Before Taxes</t>
  </si>
  <si>
    <t>Net Income, GAAP</t>
  </si>
  <si>
    <t>EBITDA</t>
  </si>
  <si>
    <t>EBIT (EBITDA)</t>
  </si>
  <si>
    <t>Assets</t>
  </si>
  <si>
    <t>Cash &amp; Short Term Investments</t>
  </si>
  <si>
    <t>Accounts Receivable, Net</t>
  </si>
  <si>
    <t>Other Current Assets</t>
  </si>
  <si>
    <r>
      <t xml:space="preserve">    </t>
    </r>
    <r>
      <rPr>
        <i/>
        <sz val="11"/>
        <color theme="1"/>
        <rFont val="Times New Roman"/>
        <family val="1"/>
      </rPr>
      <t>% of Sales</t>
    </r>
  </si>
  <si>
    <t>Total Current Assets</t>
  </si>
  <si>
    <t>Net Property, Plant, and Equipment</t>
  </si>
  <si>
    <t>Goodwill</t>
  </si>
  <si>
    <t>Intangibles</t>
  </si>
  <si>
    <t>Deferred Tax Assets</t>
  </si>
  <si>
    <t>Deferred Charges</t>
  </si>
  <si>
    <t>Other Long-Term Assets</t>
  </si>
  <si>
    <t>Total Assets</t>
  </si>
  <si>
    <t>Liabilities</t>
  </si>
  <si>
    <t>Accounts Payable</t>
  </si>
  <si>
    <t>Accrued Expenses</t>
  </si>
  <si>
    <t>Unearned Revenue, Current</t>
  </si>
  <si>
    <t>Other Current Liabilities</t>
  </si>
  <si>
    <r>
      <t xml:space="preserve">    </t>
    </r>
    <r>
      <rPr>
        <i/>
        <sz val="11"/>
        <color theme="1"/>
        <rFont val="Times New Roman"/>
        <family val="1"/>
      </rPr>
      <t>% of  SG&amp;A</t>
    </r>
  </si>
  <si>
    <t>Total Current Liabilities</t>
  </si>
  <si>
    <t>Long-Term Debt</t>
  </si>
  <si>
    <t>Unearned Revenue, Non-Current</t>
  </si>
  <si>
    <t>Deferred Tax Liability</t>
  </si>
  <si>
    <t>Other Liabilities</t>
  </si>
  <si>
    <t>Total Liabilities</t>
  </si>
  <si>
    <t>Common Equity</t>
  </si>
  <si>
    <t>Total Shareholders' Equity</t>
  </si>
  <si>
    <t>Total Liabilities and Equity</t>
  </si>
  <si>
    <t>Net Working Capital</t>
  </si>
  <si>
    <t>Changes in NWC</t>
  </si>
  <si>
    <t>dollars in millions except per share</t>
  </si>
  <si>
    <t>Name</t>
  </si>
  <si>
    <t>Total Debt</t>
  </si>
  <si>
    <t>Total Equity</t>
  </si>
  <si>
    <t>Levered Beta</t>
  </si>
  <si>
    <t>Unlevered Beta</t>
  </si>
  <si>
    <t>Relevered Beta</t>
  </si>
  <si>
    <t>Cost of Equity</t>
  </si>
  <si>
    <t>Risk Free Rate</t>
  </si>
  <si>
    <t>Beta</t>
  </si>
  <si>
    <t>Market Risk Premium</t>
  </si>
  <si>
    <t>Yield of Debt</t>
  </si>
  <si>
    <t>Cost of Debt</t>
  </si>
  <si>
    <t>Market Value of Debt</t>
  </si>
  <si>
    <t>% Debt</t>
  </si>
  <si>
    <t>Market Value of Equity</t>
  </si>
  <si>
    <t>Equity Value</t>
  </si>
  <si>
    <t>% Equity</t>
  </si>
  <si>
    <t>Cloud-Focused Automation Companies</t>
  </si>
  <si>
    <t>Big Tech with Cloud Automation</t>
  </si>
  <si>
    <t>Pegasystems</t>
  </si>
  <si>
    <t>Oracle</t>
  </si>
  <si>
    <t>SAP</t>
  </si>
  <si>
    <t>IBM</t>
  </si>
  <si>
    <t>Microsoft</t>
  </si>
  <si>
    <t>salesforce</t>
  </si>
  <si>
    <t>ServiceNow</t>
  </si>
  <si>
    <t>Expected Return of the Market</t>
  </si>
  <si>
    <t>Tax Rate</t>
  </si>
  <si>
    <t>After-tax Cost of Debt</t>
  </si>
  <si>
    <t>Stock Price</t>
  </si>
  <si>
    <t>Market Cap</t>
  </si>
  <si>
    <t>Diluted Shares Outstanding</t>
  </si>
  <si>
    <t>Enteprise Value</t>
  </si>
  <si>
    <t>Sales</t>
  </si>
  <si>
    <t>EBIT</t>
  </si>
  <si>
    <t>Enteprise Value/EBIT</t>
  </si>
  <si>
    <t>Enterprise Value/EBITDA</t>
  </si>
  <si>
    <t>Diluted EPS</t>
  </si>
  <si>
    <t>Mean</t>
  </si>
  <si>
    <t>Min</t>
  </si>
  <si>
    <t>Q1</t>
  </si>
  <si>
    <t>Median</t>
  </si>
  <si>
    <t>Q3</t>
  </si>
  <si>
    <t>Max</t>
  </si>
  <si>
    <t>Revenue</t>
  </si>
  <si>
    <t>Margin</t>
  </si>
  <si>
    <t>Taxes</t>
  </si>
  <si>
    <t>Effective Tax Rate</t>
  </si>
  <si>
    <t>NOPAT</t>
  </si>
  <si>
    <t>+</t>
  </si>
  <si>
    <t>D&amp;A</t>
  </si>
  <si>
    <t>Capex</t>
  </si>
  <si>
    <t>% of Revenue</t>
  </si>
  <si>
    <t>Increase (Decrease) in NWC</t>
  </si>
  <si>
    <t>ULFCF</t>
  </si>
  <si>
    <t>Discounted Period</t>
  </si>
  <si>
    <t>Discounted FCF</t>
  </si>
  <si>
    <t>EM Method</t>
  </si>
  <si>
    <t>PGR Method</t>
  </si>
  <si>
    <t>PV of FCF</t>
  </si>
  <si>
    <t>PGR:</t>
  </si>
  <si>
    <t>Terminal Value</t>
  </si>
  <si>
    <t>PV of TV</t>
  </si>
  <si>
    <t>Next Year FCF</t>
  </si>
  <si>
    <t>Enterprise Value</t>
  </si>
  <si>
    <t>Discounted TV</t>
  </si>
  <si>
    <t xml:space="preserve">Cash </t>
  </si>
  <si>
    <t>EV</t>
  </si>
  <si>
    <t>Shares Outstanding</t>
  </si>
  <si>
    <t>Target Price</t>
  </si>
  <si>
    <t>Current Price</t>
  </si>
  <si>
    <t>Upside</t>
  </si>
  <si>
    <t xml:space="preserve">Implied Perpetuity Growth Rate </t>
  </si>
  <si>
    <t xml:space="preserve">Implied Exit Multiple </t>
  </si>
  <si>
    <t>Enterprise Value/Sales</t>
  </si>
  <si>
    <t>2024 Sales</t>
  </si>
  <si>
    <t>Sales Multiple</t>
  </si>
  <si>
    <t>Average EV/Sales</t>
  </si>
  <si>
    <t>Weights</t>
  </si>
  <si>
    <t>Industry</t>
  </si>
  <si>
    <t>Cloud-Focused Automation</t>
  </si>
  <si>
    <t>Big Tech</t>
  </si>
  <si>
    <t>Weighted Sales Multiple</t>
  </si>
  <si>
    <t>EM Method Sensitivity</t>
  </si>
  <si>
    <t>EV/Sales Multiple</t>
  </si>
  <si>
    <t>Perpetuity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</si>
</sst>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%_);\(0.0%\)"/>
    <numFmt numFmtId="166" formatCode="_(* #,##0_);_(* \(#,##0\);_(* &quot;-&quot;??_);_(@_)"/>
    <numFmt numFmtId="167" formatCode="0.0%"/>
    <numFmt numFmtId="168" formatCode="0.00\x"/>
    <numFmt numFmtId="169" formatCode=";;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indexed="9"/>
      <name val="Arial"/>
      <family val="2"/>
    </font>
    <font>
      <b/>
      <sz val="11"/>
      <color theme="0"/>
      <name val="Times New Roman"/>
      <family val="1"/>
    </font>
    <font>
      <sz val="11"/>
      <color rgb="FF0000FF"/>
      <name val="Times New Roman"/>
      <family val="1"/>
    </font>
    <font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11"/>
      <color rgb="FF008000"/>
      <name val="Times New Roman"/>
      <family val="1"/>
    </font>
    <font>
      <b/>
      <sz val="11"/>
      <color rgb="FF00CC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9">
      <alignment horizontal="left"/>
    </xf>
    <xf numFmtId="0" fontId="4" fillId="2" borderId="9">
      <alignment horizontal="right"/>
    </xf>
    <xf numFmtId="0" fontId="4" fillId="2" borderId="14">
      <alignment horizontal="left"/>
    </xf>
    <xf numFmtId="0" fontId="4" fillId="2" borderId="14">
      <alignment horizontal="right"/>
    </xf>
    <xf numFmtId="44" fontId="1" fillId="0" borderId="0" applyFont="0" applyFill="0" applyBorder="0" applyAlignment="0" applyProtection="0"/>
    <xf numFmtId="0" fontId="12" fillId="4" borderId="0">
      <alignment horizontal="left" vertical="center"/>
    </xf>
    <xf numFmtId="0" fontId="13" fillId="0" borderId="0"/>
    <xf numFmtId="0" fontId="14" fillId="0" borderId="0">
      <alignment horizontal="left" vertical="center"/>
    </xf>
    <xf numFmtId="0" fontId="14" fillId="0" borderId="0">
      <alignment horizontal="left" vertical="center"/>
    </xf>
  </cellStyleXfs>
  <cellXfs count="2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164" fontId="5" fillId="3" borderId="10" xfId="3" applyNumberFormat="1" applyFont="1" applyFill="1" applyBorder="1">
      <alignment horizontal="left"/>
    </xf>
    <xf numFmtId="164" fontId="5" fillId="3" borderId="11" xfId="4" applyNumberFormat="1" applyFont="1" applyFill="1" applyBorder="1">
      <alignment horizontal="right"/>
    </xf>
    <xf numFmtId="164" fontId="5" fillId="3" borderId="12" xfId="4" applyNumberFormat="1" applyFont="1" applyFill="1" applyBorder="1">
      <alignment horizontal="right"/>
    </xf>
    <xf numFmtId="164" fontId="5" fillId="3" borderId="13" xfId="4" applyNumberFormat="1" applyFont="1" applyFill="1" applyBorder="1">
      <alignment horizontal="right"/>
    </xf>
    <xf numFmtId="164" fontId="5" fillId="3" borderId="15" xfId="5" applyNumberFormat="1" applyFont="1" applyFill="1" applyBorder="1">
      <alignment horizontal="left"/>
    </xf>
    <xf numFmtId="164" fontId="5" fillId="3" borderId="7" xfId="6" applyNumberFormat="1" applyFont="1" applyFill="1" applyBorder="1">
      <alignment horizontal="right"/>
    </xf>
    <xf numFmtId="164" fontId="5" fillId="3" borderId="6" xfId="6" applyNumberFormat="1" applyFont="1" applyFill="1" applyBorder="1">
      <alignment horizontal="right"/>
    </xf>
    <xf numFmtId="164" fontId="5" fillId="3" borderId="16" xfId="6" applyNumberFormat="1" applyFont="1" applyFill="1" applyBorder="1">
      <alignment horizontal="right"/>
    </xf>
    <xf numFmtId="0" fontId="2" fillId="0" borderId="17" xfId="0" applyFont="1" applyBorder="1"/>
    <xf numFmtId="43" fontId="2" fillId="0" borderId="1" xfId="0" applyNumberFormat="1" applyFont="1" applyBorder="1"/>
    <xf numFmtId="43" fontId="2" fillId="0" borderId="18" xfId="0" applyNumberFormat="1" applyFont="1" applyBorder="1"/>
    <xf numFmtId="0" fontId="2" fillId="0" borderId="17" xfId="0" applyFont="1" applyBorder="1" applyAlignment="1">
      <alignment horizontal="left" indent="2"/>
    </xf>
    <xf numFmtId="165" fontId="2" fillId="0" borderId="4" xfId="0" applyNumberFormat="1" applyFont="1" applyBorder="1"/>
    <xf numFmtId="165" fontId="2" fillId="0" borderId="18" xfId="0" applyNumberFormat="1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165" fontId="2" fillId="0" borderId="20" xfId="0" applyNumberFormat="1" applyFont="1" applyBorder="1"/>
    <xf numFmtId="0" fontId="2" fillId="0" borderId="0" xfId="0" applyFont="1" applyBorder="1" applyAlignment="1">
      <alignment horizontal="left" indent="2"/>
    </xf>
    <xf numFmtId="43" fontId="6" fillId="0" borderId="0" xfId="0" applyNumberFormat="1" applyFont="1" applyBorder="1"/>
    <xf numFmtId="43" fontId="2" fillId="0" borderId="0" xfId="0" applyNumberFormat="1" applyFont="1" applyBorder="1"/>
    <xf numFmtId="165" fontId="2" fillId="0" borderId="0" xfId="0" applyNumberFormat="1" applyFont="1" applyBorder="1"/>
    <xf numFmtId="166" fontId="2" fillId="0" borderId="0" xfId="0" applyNumberFormat="1" applyFont="1" applyBorder="1"/>
    <xf numFmtId="0" fontId="7" fillId="0" borderId="0" xfId="0" applyFont="1" applyBorder="1" applyAlignment="1">
      <alignment horizontal="left" indent="2"/>
    </xf>
    <xf numFmtId="14" fontId="5" fillId="3" borderId="7" xfId="4" applyNumberFormat="1" applyFont="1" applyFill="1" applyBorder="1">
      <alignment horizontal="right"/>
    </xf>
    <xf numFmtId="0" fontId="7" fillId="0" borderId="20" xfId="0" applyFont="1" applyBorder="1" applyAlignment="1">
      <alignment horizontal="left" indent="2"/>
    </xf>
    <xf numFmtId="165" fontId="2" fillId="0" borderId="5" xfId="0" applyNumberFormat="1" applyFont="1" applyBorder="1"/>
    <xf numFmtId="9" fontId="6" fillId="0" borderId="0" xfId="2" applyFont="1" applyBorder="1"/>
    <xf numFmtId="43" fontId="10" fillId="0" borderId="4" xfId="1" applyFont="1" applyBorder="1"/>
    <xf numFmtId="43" fontId="10" fillId="0" borderId="0" xfId="1" applyFont="1" applyBorder="1"/>
    <xf numFmtId="43" fontId="10" fillId="0" borderId="18" xfId="1" applyFont="1" applyBorder="1"/>
    <xf numFmtId="165" fontId="10" fillId="0" borderId="4" xfId="0" applyNumberFormat="1" applyFont="1" applyBorder="1"/>
    <xf numFmtId="165" fontId="10" fillId="0" borderId="0" xfId="0" applyNumberFormat="1" applyFont="1" applyBorder="1"/>
    <xf numFmtId="165" fontId="10" fillId="0" borderId="18" xfId="0" applyNumberFormat="1" applyFont="1" applyBorder="1"/>
    <xf numFmtId="167" fontId="6" fillId="0" borderId="0" xfId="2" applyNumberFormat="1" applyFont="1" applyBorder="1"/>
    <xf numFmtId="9" fontId="6" fillId="0" borderId="5" xfId="2" applyFont="1" applyBorder="1"/>
    <xf numFmtId="43" fontId="6" fillId="0" borderId="5" xfId="0" applyNumberFormat="1" applyFont="1" applyBorder="1"/>
    <xf numFmtId="165" fontId="2" fillId="0" borderId="23" xfId="0" applyNumberFormat="1" applyFont="1" applyBorder="1"/>
    <xf numFmtId="167" fontId="6" fillId="0" borderId="18" xfId="2" applyNumberFormat="1" applyFont="1" applyBorder="1"/>
    <xf numFmtId="43" fontId="6" fillId="0" borderId="18" xfId="0" applyNumberFormat="1" applyFont="1" applyBorder="1"/>
    <xf numFmtId="14" fontId="5" fillId="3" borderId="7" xfId="6" applyNumberFormat="1" applyFont="1" applyFill="1" applyBorder="1">
      <alignment horizontal="right"/>
    </xf>
    <xf numFmtId="43" fontId="11" fillId="0" borderId="0" xfId="1" applyFont="1" applyFill="1" applyBorder="1" applyAlignment="1"/>
    <xf numFmtId="0" fontId="7" fillId="0" borderId="0" xfId="0" applyFont="1"/>
    <xf numFmtId="0" fontId="3" fillId="0" borderId="2" xfId="0" applyFont="1" applyBorder="1"/>
    <xf numFmtId="43" fontId="6" fillId="0" borderId="2" xfId="0" applyNumberFormat="1" applyFont="1" applyBorder="1"/>
    <xf numFmtId="43" fontId="11" fillId="0" borderId="2" xfId="1" applyFont="1" applyFill="1" applyBorder="1" applyAlignment="1"/>
    <xf numFmtId="43" fontId="11" fillId="0" borderId="3" xfId="1" applyFont="1" applyFill="1" applyBorder="1" applyAlignment="1"/>
    <xf numFmtId="0" fontId="7" fillId="0" borderId="0" xfId="0" applyFont="1" applyBorder="1"/>
    <xf numFmtId="167" fontId="2" fillId="0" borderId="0" xfId="2" applyNumberFormat="1" applyFont="1" applyBorder="1"/>
    <xf numFmtId="167" fontId="2" fillId="0" borderId="5" xfId="2" applyNumberFormat="1" applyFont="1" applyBorder="1"/>
    <xf numFmtId="43" fontId="10" fillId="0" borderId="0" xfId="0" applyNumberFormat="1" applyFont="1" applyBorder="1"/>
    <xf numFmtId="43" fontId="10" fillId="0" borderId="5" xfId="0" applyNumberFormat="1" applyFont="1" applyBorder="1"/>
    <xf numFmtId="43" fontId="2" fillId="0" borderId="5" xfId="0" applyNumberFormat="1" applyFont="1" applyBorder="1"/>
    <xf numFmtId="43" fontId="2" fillId="0" borderId="2" xfId="0" applyNumberFormat="1" applyFont="1" applyBorder="1"/>
    <xf numFmtId="43" fontId="2" fillId="0" borderId="3" xfId="0" applyNumberFormat="1" applyFont="1" applyBorder="1"/>
    <xf numFmtId="0" fontId="7" fillId="0" borderId="7" xfId="0" applyFont="1" applyBorder="1"/>
    <xf numFmtId="167" fontId="2" fillId="0" borderId="7" xfId="2" applyNumberFormat="1" applyFont="1" applyBorder="1"/>
    <xf numFmtId="167" fontId="2" fillId="0" borderId="8" xfId="2" applyNumberFormat="1" applyFont="1" applyBorder="1"/>
    <xf numFmtId="167" fontId="6" fillId="0" borderId="7" xfId="2" applyNumberFormat="1" applyFont="1" applyBorder="1"/>
    <xf numFmtId="43" fontId="2" fillId="0" borderId="7" xfId="0" applyNumberFormat="1" applyFont="1" applyBorder="1"/>
    <xf numFmtId="10" fontId="2" fillId="0" borderId="7" xfId="2" applyNumberFormat="1" applyFont="1" applyBorder="1"/>
    <xf numFmtId="10" fontId="2" fillId="0" borderId="8" xfId="2" applyNumberFormat="1" applyFont="1" applyBorder="1"/>
    <xf numFmtId="0" fontId="3" fillId="0" borderId="24" xfId="0" applyFont="1" applyBorder="1"/>
    <xf numFmtId="43" fontId="11" fillId="0" borderId="18" xfId="1" applyFont="1" applyFill="1" applyBorder="1" applyAlignment="1"/>
    <xf numFmtId="0" fontId="7" fillId="0" borderId="17" xfId="0" applyFont="1" applyBorder="1"/>
    <xf numFmtId="43" fontId="2" fillId="0" borderId="25" xfId="0" applyNumberFormat="1" applyFont="1" applyBorder="1"/>
    <xf numFmtId="43" fontId="10" fillId="0" borderId="18" xfId="0" applyNumberFormat="1" applyFont="1" applyBorder="1"/>
    <xf numFmtId="0" fontId="2" fillId="0" borderId="15" xfId="0" applyFont="1" applyBorder="1"/>
    <xf numFmtId="167" fontId="6" fillId="0" borderId="16" xfId="2" applyNumberFormat="1" applyFont="1" applyBorder="1"/>
    <xf numFmtId="43" fontId="2" fillId="0" borderId="16" xfId="0" applyNumberFormat="1" applyFont="1" applyBorder="1"/>
    <xf numFmtId="0" fontId="3" fillId="0" borderId="17" xfId="0" applyFont="1" applyBorder="1"/>
    <xf numFmtId="0" fontId="3" fillId="0" borderId="19" xfId="0" applyFont="1" applyBorder="1"/>
    <xf numFmtId="43" fontId="2" fillId="0" borderId="20" xfId="0" applyNumberFormat="1" applyFont="1" applyBorder="1"/>
    <xf numFmtId="43" fontId="2" fillId="0" borderId="22" xfId="0" applyNumberFormat="1" applyFont="1" applyBorder="1"/>
    <xf numFmtId="43" fontId="2" fillId="0" borderId="2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167" fontId="11" fillId="0" borderId="0" xfId="2" applyNumberFormat="1" applyFont="1" applyFill="1" applyBorder="1" applyAlignment="1"/>
    <xf numFmtId="2" fontId="2" fillId="0" borderId="0" xfId="0" applyNumberFormat="1" applyFont="1" applyBorder="1"/>
    <xf numFmtId="2" fontId="11" fillId="0" borderId="0" xfId="7" applyNumberFormat="1" applyFont="1" applyFill="1" applyBorder="1" applyAlignment="1"/>
    <xf numFmtId="2" fontId="2" fillId="0" borderId="2" xfId="0" applyNumberFormat="1" applyFont="1" applyBorder="1"/>
    <xf numFmtId="43" fontId="6" fillId="0" borderId="0" xfId="0" applyNumberFormat="1" applyFont="1" applyBorder="1" applyAlignment="1"/>
    <xf numFmtId="167" fontId="11" fillId="0" borderId="7" xfId="2" applyNumberFormat="1" applyFont="1" applyFill="1" applyBorder="1" applyAlignment="1"/>
    <xf numFmtId="2" fontId="11" fillId="0" borderId="18" xfId="7" applyNumberFormat="1" applyFont="1" applyFill="1" applyBorder="1" applyAlignment="1"/>
    <xf numFmtId="2" fontId="2" fillId="0" borderId="25" xfId="0" applyNumberFormat="1" applyFont="1" applyBorder="1"/>
    <xf numFmtId="0" fontId="2" fillId="0" borderId="16" xfId="0" applyFont="1" applyBorder="1"/>
    <xf numFmtId="2" fontId="2" fillId="0" borderId="18" xfId="0" applyNumberFormat="1" applyFont="1" applyBorder="1"/>
    <xf numFmtId="43" fontId="6" fillId="0" borderId="18" xfId="0" applyNumberFormat="1" applyFont="1" applyBorder="1" applyAlignment="1"/>
    <xf numFmtId="164" fontId="5" fillId="3" borderId="27" xfId="4" applyNumberFormat="1" applyFont="1" applyFill="1" applyBorder="1">
      <alignment horizontal="right"/>
    </xf>
    <xf numFmtId="164" fontId="5" fillId="3" borderId="8" xfId="6" applyNumberFormat="1" applyFont="1" applyFill="1" applyBorder="1">
      <alignment horizontal="right"/>
    </xf>
    <xf numFmtId="167" fontId="11" fillId="0" borderId="5" xfId="2" applyNumberFormat="1" applyFont="1" applyFill="1" applyBorder="1" applyAlignment="1"/>
    <xf numFmtId="2" fontId="2" fillId="0" borderId="3" xfId="0" applyNumberFormat="1" applyFont="1" applyBorder="1"/>
    <xf numFmtId="2" fontId="2" fillId="0" borderId="5" xfId="0" applyNumberFormat="1" applyFont="1" applyBorder="1"/>
    <xf numFmtId="167" fontId="11" fillId="0" borderId="8" xfId="2" applyNumberFormat="1" applyFont="1" applyFill="1" applyBorder="1" applyAlignment="1"/>
    <xf numFmtId="43" fontId="2" fillId="0" borderId="23" xfId="0" applyNumberFormat="1" applyFont="1" applyBorder="1"/>
    <xf numFmtId="164" fontId="11" fillId="0" borderId="0" xfId="7" applyNumberFormat="1" applyFont="1" applyFill="1" applyBorder="1" applyAlignment="1"/>
    <xf numFmtId="164" fontId="11" fillId="0" borderId="18" xfId="7" applyNumberFormat="1" applyFont="1" applyFill="1" applyBorder="1" applyAlignment="1"/>
    <xf numFmtId="165" fontId="11" fillId="0" borderId="0" xfId="2" applyNumberFormat="1" applyFont="1" applyFill="1" applyBorder="1" applyAlignment="1"/>
    <xf numFmtId="165" fontId="11" fillId="0" borderId="5" xfId="2" applyNumberFormat="1" applyFont="1" applyFill="1" applyBorder="1" applyAlignment="1"/>
    <xf numFmtId="165" fontId="10" fillId="0" borderId="0" xfId="2" applyNumberFormat="1" applyFont="1" applyFill="1" applyBorder="1" applyAlignment="1"/>
    <xf numFmtId="165" fontId="10" fillId="0" borderId="5" xfId="2" applyNumberFormat="1" applyFont="1" applyFill="1" applyBorder="1" applyAlignment="1"/>
    <xf numFmtId="43" fontId="11" fillId="0" borderId="7" xfId="1" applyFont="1" applyFill="1" applyBorder="1" applyAlignment="1"/>
    <xf numFmtId="43" fontId="11" fillId="0" borderId="5" xfId="1" applyFont="1" applyFill="1" applyBorder="1" applyAlignment="1"/>
    <xf numFmtId="43" fontId="11" fillId="0" borderId="8" xfId="1" applyFont="1" applyFill="1" applyBorder="1" applyAlignment="1"/>
    <xf numFmtId="43" fontId="11" fillId="0" borderId="25" xfId="1" applyFont="1" applyFill="1" applyBorder="1" applyAlignment="1"/>
    <xf numFmtId="165" fontId="10" fillId="0" borderId="18" xfId="2" applyNumberFormat="1" applyFont="1" applyFill="1" applyBorder="1" applyAlignment="1"/>
    <xf numFmtId="43" fontId="11" fillId="0" borderId="16" xfId="1" applyFont="1" applyFill="1" applyBorder="1" applyAlignment="1"/>
    <xf numFmtId="167" fontId="6" fillId="0" borderId="20" xfId="2" applyNumberFormat="1" applyFont="1" applyBorder="1"/>
    <xf numFmtId="167" fontId="6" fillId="0" borderId="22" xfId="2" applyNumberFormat="1" applyFont="1" applyBorder="1"/>
    <xf numFmtId="10" fontId="6" fillId="0" borderId="18" xfId="2" applyNumberFormat="1" applyFont="1" applyBorder="1"/>
    <xf numFmtId="165" fontId="10" fillId="0" borderId="7" xfId="2" applyNumberFormat="1" applyFont="1" applyFill="1" applyBorder="1" applyAlignment="1"/>
    <xf numFmtId="165" fontId="10" fillId="0" borderId="8" xfId="2" applyNumberFormat="1" applyFont="1" applyFill="1" applyBorder="1" applyAlignment="1"/>
    <xf numFmtId="165" fontId="10" fillId="0" borderId="6" xfId="2" applyNumberFormat="1" applyFont="1" applyFill="1" applyBorder="1" applyAlignment="1"/>
    <xf numFmtId="165" fontId="10" fillId="0" borderId="16" xfId="2" applyNumberFormat="1" applyFont="1" applyFill="1" applyBorder="1" applyAlignment="1"/>
    <xf numFmtId="0" fontId="2" fillId="0" borderId="23" xfId="0" applyFont="1" applyBorder="1"/>
    <xf numFmtId="164" fontId="5" fillId="3" borderId="10" xfId="0" applyNumberFormat="1" applyFont="1" applyFill="1" applyBorder="1"/>
    <xf numFmtId="164" fontId="15" fillId="3" borderId="11" xfId="0" applyNumberFormat="1" applyFont="1" applyFill="1" applyBorder="1"/>
    <xf numFmtId="164" fontId="15" fillId="3" borderId="13" xfId="0" applyNumberFormat="1" applyFont="1" applyFill="1" applyBorder="1"/>
    <xf numFmtId="43" fontId="10" fillId="0" borderId="0" xfId="1" applyFont="1" applyFill="1" applyBorder="1" applyAlignment="1">
      <alignment horizontal="center"/>
    </xf>
    <xf numFmtId="164" fontId="10" fillId="0" borderId="17" xfId="0" applyNumberFormat="1" applyFont="1" applyBorder="1"/>
    <xf numFmtId="164" fontId="10" fillId="0" borderId="0" xfId="0" applyNumberFormat="1" applyFont="1"/>
    <xf numFmtId="164" fontId="10" fillId="0" borderId="18" xfId="0" applyNumberFormat="1" applyFont="1" applyBorder="1"/>
    <xf numFmtId="164" fontId="10" fillId="0" borderId="0" xfId="0" applyNumberFormat="1" applyFont="1" applyBorder="1"/>
    <xf numFmtId="10" fontId="11" fillId="0" borderId="18" xfId="2" applyNumberFormat="1" applyFont="1" applyFill="1" applyBorder="1"/>
    <xf numFmtId="164" fontId="2" fillId="0" borderId="17" xfId="0" applyNumberFormat="1" applyFont="1" applyBorder="1"/>
    <xf numFmtId="164" fontId="2" fillId="0" borderId="0" xfId="0" applyNumberFormat="1" applyFont="1"/>
    <xf numFmtId="164" fontId="16" fillId="0" borderId="0" xfId="4" applyNumberFormat="1" applyFont="1" applyFill="1" applyBorder="1">
      <alignment horizontal="right"/>
    </xf>
    <xf numFmtId="164" fontId="2" fillId="0" borderId="0" xfId="0" applyNumberFormat="1" applyFont="1" applyBorder="1"/>
    <xf numFmtId="43" fontId="2" fillId="0" borderId="18" xfId="1" applyFont="1" applyBorder="1"/>
    <xf numFmtId="164" fontId="16" fillId="0" borderId="0" xfId="6" applyNumberFormat="1" applyFont="1" applyFill="1" applyBorder="1">
      <alignment horizontal="right"/>
    </xf>
    <xf numFmtId="168" fontId="11" fillId="0" borderId="18" xfId="1" applyNumberFormat="1" applyFont="1" applyBorder="1"/>
    <xf numFmtId="164" fontId="2" fillId="0" borderId="0" xfId="7" applyNumberFormat="1" applyFont="1" applyFill="1" applyBorder="1"/>
    <xf numFmtId="164" fontId="2" fillId="0" borderId="0" xfId="1" applyNumberFormat="1" applyFont="1" applyFill="1" applyBorder="1"/>
    <xf numFmtId="164" fontId="2" fillId="0" borderId="0" xfId="2" applyNumberFormat="1" applyFont="1" applyFill="1" applyBorder="1"/>
    <xf numFmtId="43" fontId="11" fillId="0" borderId="18" xfId="1" applyFont="1" applyFill="1" applyBorder="1"/>
    <xf numFmtId="164" fontId="5" fillId="0" borderId="0" xfId="4" applyNumberFormat="1" applyFont="1" applyFill="1" applyBorder="1">
      <alignment horizontal="right"/>
    </xf>
    <xf numFmtId="43" fontId="2" fillId="5" borderId="18" xfId="1" applyFont="1" applyFill="1" applyBorder="1"/>
    <xf numFmtId="164" fontId="5" fillId="0" borderId="0" xfId="6" applyNumberFormat="1" applyFont="1" applyFill="1" applyBorder="1">
      <alignment horizontal="right"/>
    </xf>
    <xf numFmtId="43" fontId="2" fillId="0" borderId="18" xfId="1" applyFont="1" applyFill="1" applyBorder="1"/>
    <xf numFmtId="164" fontId="17" fillId="0" borderId="0" xfId="1" applyNumberFormat="1" applyFont="1" applyFill="1" applyBorder="1"/>
    <xf numFmtId="164" fontId="10" fillId="0" borderId="0" xfId="1" applyNumberFormat="1" applyFont="1" applyFill="1" applyBorder="1" applyAlignment="1">
      <alignment horizontal="right" vertical="top"/>
    </xf>
    <xf numFmtId="167" fontId="2" fillId="0" borderId="18" xfId="2" applyNumberFormat="1" applyFont="1" applyBorder="1"/>
    <xf numFmtId="164" fontId="7" fillId="0" borderId="19" xfId="0" applyNumberFormat="1" applyFont="1" applyBorder="1"/>
    <xf numFmtId="164" fontId="2" fillId="0" borderId="20" xfId="0" applyNumberFormat="1" applyFont="1" applyBorder="1"/>
    <xf numFmtId="0" fontId="10" fillId="0" borderId="20" xfId="0" applyFont="1" applyBorder="1" applyAlignment="1">
      <alignment vertical="top" wrapText="1"/>
    </xf>
    <xf numFmtId="10" fontId="2" fillId="0" borderId="22" xfId="2" applyNumberFormat="1" applyFont="1" applyFill="1" applyBorder="1" applyAlignment="1">
      <alignment wrapText="1"/>
    </xf>
    <xf numFmtId="44" fontId="2" fillId="0" borderId="0" xfId="7" applyFont="1" applyBorder="1"/>
    <xf numFmtId="0" fontId="10" fillId="0" borderId="0" xfId="0" applyFont="1" applyAlignment="1">
      <alignment vertical="top" wrapText="1"/>
    </xf>
    <xf numFmtId="164" fontId="2" fillId="0" borderId="0" xfId="1" applyNumberFormat="1" applyFont="1" applyFill="1" applyBorder="1" applyAlignment="1">
      <alignment wrapText="1"/>
    </xf>
    <xf numFmtId="168" fontId="2" fillId="0" borderId="0" xfId="0" applyNumberFormat="1" applyFont="1" applyBorder="1"/>
    <xf numFmtId="9" fontId="2" fillId="0" borderId="0" xfId="0" applyNumberFormat="1" applyFont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43" fontId="6" fillId="0" borderId="21" xfId="0" applyNumberFormat="1" applyFont="1" applyBorder="1"/>
    <xf numFmtId="43" fontId="6" fillId="0" borderId="20" xfId="0" applyNumberFormat="1" applyFont="1" applyBorder="1"/>
    <xf numFmtId="43" fontId="6" fillId="0" borderId="22" xfId="0" applyNumberFormat="1" applyFont="1" applyBorder="1"/>
    <xf numFmtId="43" fontId="2" fillId="0" borderId="0" xfId="1" applyFont="1"/>
    <xf numFmtId="2" fontId="2" fillId="0" borderId="0" xfId="0" applyNumberFormat="1" applyFont="1"/>
    <xf numFmtId="0" fontId="5" fillId="3" borderId="10" xfId="0" applyFont="1" applyFill="1" applyBorder="1" applyAlignment="1">
      <alignment horizontal="centerContinuous" vertical="center"/>
    </xf>
    <xf numFmtId="0" fontId="5" fillId="3" borderId="11" xfId="0" applyFont="1" applyFill="1" applyBorder="1" applyAlignment="1">
      <alignment horizontal="centerContinuous" vertical="center"/>
    </xf>
    <xf numFmtId="0" fontId="5" fillId="3" borderId="13" xfId="0" applyFont="1" applyFill="1" applyBorder="1" applyAlignment="1">
      <alignment horizontal="centerContinuous" vertical="center"/>
    </xf>
    <xf numFmtId="0" fontId="5" fillId="3" borderId="28" xfId="8" applyFont="1" applyFill="1" applyBorder="1">
      <alignment horizontal="left" vertical="center"/>
    </xf>
    <xf numFmtId="0" fontId="5" fillId="3" borderId="29" xfId="8" applyFont="1" applyFill="1" applyBorder="1">
      <alignment horizontal="left" vertical="center"/>
    </xf>
    <xf numFmtId="0" fontId="5" fillId="3" borderId="30" xfId="0" applyFont="1" applyFill="1" applyBorder="1"/>
    <xf numFmtId="0" fontId="2" fillId="0" borderId="19" xfId="9" applyFont="1" applyBorder="1" applyAlignment="1">
      <alignment horizontal="left"/>
    </xf>
    <xf numFmtId="43" fontId="10" fillId="0" borderId="20" xfId="1" applyFont="1" applyFill="1" applyBorder="1" applyAlignment="1">
      <alignment horizontal="right" vertical="center"/>
    </xf>
    <xf numFmtId="43" fontId="2" fillId="0" borderId="20" xfId="1" applyFont="1" applyBorder="1"/>
    <xf numFmtId="2" fontId="2" fillId="0" borderId="20" xfId="0" applyNumberFormat="1" applyFont="1" applyBorder="1"/>
    <xf numFmtId="2" fontId="10" fillId="0" borderId="20" xfId="10" applyNumberFormat="1" applyFont="1" applyBorder="1" applyAlignment="1">
      <alignment horizontal="right" vertical="center"/>
    </xf>
    <xf numFmtId="2" fontId="10" fillId="0" borderId="22" xfId="10" applyNumberFormat="1" applyFont="1" applyBorder="1" applyAlignment="1">
      <alignment horizontal="right" vertical="center"/>
    </xf>
    <xf numFmtId="10" fontId="2" fillId="0" borderId="18" xfId="2" applyNumberFormat="1" applyFont="1" applyBorder="1"/>
    <xf numFmtId="0" fontId="5" fillId="3" borderId="28" xfId="0" applyFont="1" applyFill="1" applyBorder="1"/>
    <xf numFmtId="43" fontId="5" fillId="3" borderId="29" xfId="1" applyFont="1" applyFill="1" applyBorder="1"/>
    <xf numFmtId="2" fontId="5" fillId="3" borderId="29" xfId="0" applyNumberFormat="1" applyFont="1" applyFill="1" applyBorder="1"/>
    <xf numFmtId="2" fontId="5" fillId="3" borderId="30" xfId="0" applyNumberFormat="1" applyFont="1" applyFill="1" applyBorder="1"/>
    <xf numFmtId="49" fontId="2" fillId="0" borderId="17" xfId="11" applyNumberFormat="1" applyFont="1" applyBorder="1">
      <alignment horizontal="left" vertical="center"/>
    </xf>
    <xf numFmtId="43" fontId="10" fillId="0" borderId="0" xfId="1" applyFont="1" applyFill="1" applyBorder="1" applyAlignment="1">
      <alignment horizontal="right" vertical="center"/>
    </xf>
    <xf numFmtId="2" fontId="10" fillId="0" borderId="0" xfId="11" applyNumberFormat="1" applyFont="1" applyAlignment="1">
      <alignment horizontal="right" vertical="center"/>
    </xf>
    <xf numFmtId="10" fontId="3" fillId="0" borderId="25" xfId="2" applyNumberFormat="1" applyFont="1" applyBorder="1"/>
    <xf numFmtId="49" fontId="2" fillId="0" borderId="19" xfId="11" applyNumberFormat="1" applyFont="1" applyBorder="1">
      <alignment horizontal="left" vertical="center"/>
    </xf>
    <xf numFmtId="2" fontId="10" fillId="0" borderId="20" xfId="11" applyNumberFormat="1" applyFont="1" applyBorder="1" applyAlignment="1">
      <alignment horizontal="right" vertical="center"/>
    </xf>
    <xf numFmtId="2" fontId="2" fillId="0" borderId="22" xfId="0" applyNumberFormat="1" applyFont="1" applyBorder="1"/>
    <xf numFmtId="9" fontId="2" fillId="0" borderId="18" xfId="0" applyNumberFormat="1" applyFont="1" applyBorder="1"/>
    <xf numFmtId="0" fontId="3" fillId="0" borderId="24" xfId="0" applyFont="1" applyFill="1" applyBorder="1"/>
    <xf numFmtId="10" fontId="3" fillId="0" borderId="25" xfId="0" applyNumberFormat="1" applyFont="1" applyBorder="1"/>
    <xf numFmtId="0" fontId="5" fillId="3" borderId="31" xfId="0" applyFont="1" applyFill="1" applyBorder="1" applyAlignment="1">
      <alignment horizontal="center"/>
    </xf>
    <xf numFmtId="10" fontId="5" fillId="3" borderId="32" xfId="0" applyNumberFormat="1" applyFont="1" applyFill="1" applyBorder="1" applyAlignment="1">
      <alignment horizontal="center"/>
    </xf>
    <xf numFmtId="0" fontId="2" fillId="0" borderId="22" xfId="0" applyFont="1" applyBorder="1"/>
    <xf numFmtId="43" fontId="17" fillId="0" borderId="0" xfId="1" applyFont="1" applyBorder="1" applyAlignment="1">
      <alignment horizontal="right" vertical="center"/>
    </xf>
    <xf numFmtId="43" fontId="17" fillId="0" borderId="18" xfId="1" applyFont="1" applyBorder="1" applyAlignment="1">
      <alignment horizontal="right" vertical="center"/>
    </xf>
    <xf numFmtId="0" fontId="5" fillId="3" borderId="28" xfId="8" applyFont="1" applyFill="1" applyBorder="1" applyAlignment="1">
      <alignment horizontal="left"/>
    </xf>
    <xf numFmtId="0" fontId="5" fillId="3" borderId="29" xfId="8" applyFont="1" applyFill="1" applyBorder="1" applyAlignment="1">
      <alignment horizontal="left"/>
    </xf>
    <xf numFmtId="0" fontId="5" fillId="3" borderId="29" xfId="8" applyFont="1" applyFill="1" applyBorder="1" applyAlignment="1">
      <alignment horizontal="left" wrapText="1"/>
    </xf>
    <xf numFmtId="0" fontId="5" fillId="3" borderId="30" xfId="0" applyFont="1" applyFill="1" applyBorder="1" applyAlignment="1"/>
    <xf numFmtId="43" fontId="2" fillId="0" borderId="20" xfId="1" applyFont="1" applyBorder="1" applyAlignment="1">
      <alignment horizontal="right" vertical="center"/>
    </xf>
    <xf numFmtId="168" fontId="2" fillId="0" borderId="20" xfId="11" applyNumberFormat="1" applyFont="1" applyBorder="1" applyAlignment="1">
      <alignment horizontal="right" vertical="center"/>
    </xf>
    <xf numFmtId="43" fontId="2" fillId="0" borderId="22" xfId="1" applyFont="1" applyBorder="1" applyAlignment="1">
      <alignment horizontal="right" vertical="center"/>
    </xf>
    <xf numFmtId="43" fontId="2" fillId="0" borderId="0" xfId="11" applyNumberFormat="1" applyFont="1" applyBorder="1" applyAlignment="1">
      <alignment horizontal="right" vertical="center"/>
    </xf>
    <xf numFmtId="43" fontId="5" fillId="3" borderId="30" xfId="1" applyFont="1" applyFill="1" applyBorder="1"/>
    <xf numFmtId="43" fontId="2" fillId="0" borderId="0" xfId="1" applyFont="1" applyBorder="1"/>
    <xf numFmtId="43" fontId="2" fillId="0" borderId="0" xfId="1" applyFont="1" applyBorder="1" applyAlignment="1">
      <alignment horizontal="right" vertical="center"/>
    </xf>
    <xf numFmtId="168" fontId="2" fillId="0" borderId="0" xfId="11" applyNumberFormat="1" applyFont="1" applyBorder="1" applyAlignment="1">
      <alignment horizontal="right" vertical="center"/>
    </xf>
    <xf numFmtId="43" fontId="2" fillId="0" borderId="18" xfId="1" applyFont="1" applyBorder="1" applyAlignment="1">
      <alignment horizontal="right" vertical="center"/>
    </xf>
    <xf numFmtId="43" fontId="2" fillId="0" borderId="22" xfId="1" applyFont="1" applyBorder="1"/>
    <xf numFmtId="43" fontId="5" fillId="3" borderId="11" xfId="0" applyNumberFormat="1" applyFont="1" applyFill="1" applyBorder="1" applyAlignment="1">
      <alignment horizontal="right"/>
    </xf>
    <xf numFmtId="166" fontId="5" fillId="3" borderId="11" xfId="1" applyNumberFormat="1" applyFont="1" applyFill="1" applyBorder="1" applyAlignment="1">
      <alignment horizontal="right"/>
    </xf>
    <xf numFmtId="168" fontId="5" fillId="3" borderId="11" xfId="0" applyNumberFormat="1" applyFont="1" applyFill="1" applyBorder="1" applyAlignment="1">
      <alignment horizontal="right"/>
    </xf>
    <xf numFmtId="2" fontId="5" fillId="3" borderId="13" xfId="0" applyNumberFormat="1" applyFont="1" applyFill="1" applyBorder="1" applyAlignment="1">
      <alignment horizontal="right"/>
    </xf>
    <xf numFmtId="43" fontId="2" fillId="0" borderId="18" xfId="11" applyNumberFormat="1" applyFont="1" applyBorder="1" applyAlignment="1">
      <alignment horizontal="right" vertical="center"/>
    </xf>
    <xf numFmtId="43" fontId="2" fillId="0" borderId="20" xfId="11" applyNumberFormat="1" applyFont="1" applyBorder="1" applyAlignment="1">
      <alignment horizontal="right" vertical="center"/>
    </xf>
    <xf numFmtId="43" fontId="2" fillId="0" borderId="22" xfId="11" applyNumberFormat="1" applyFont="1" applyBorder="1" applyAlignment="1">
      <alignment horizontal="right" vertical="center"/>
    </xf>
    <xf numFmtId="49" fontId="3" fillId="0" borderId="33" xfId="11" applyNumberFormat="1" applyFont="1" applyBorder="1">
      <alignment horizontal="left" vertical="center"/>
    </xf>
    <xf numFmtId="167" fontId="10" fillId="0" borderId="18" xfId="1" applyNumberFormat="1" applyFont="1" applyFill="1" applyBorder="1" applyAlignment="1">
      <alignment horizontal="right" vertical="center"/>
    </xf>
    <xf numFmtId="168" fontId="3" fillId="0" borderId="34" xfId="11" applyNumberFormat="1" applyFont="1" applyBorder="1" applyAlignment="1">
      <alignment horizontal="right" vertical="center"/>
    </xf>
    <xf numFmtId="167" fontId="3" fillId="0" borderId="35" xfId="1" applyNumberFormat="1" applyFont="1" applyBorder="1"/>
    <xf numFmtId="168" fontId="2" fillId="0" borderId="22" xfId="7" applyNumberFormat="1" applyFont="1" applyBorder="1"/>
    <xf numFmtId="10" fontId="2" fillId="0" borderId="0" xfId="2" applyNumberFormat="1" applyFont="1"/>
    <xf numFmtId="10" fontId="2" fillId="0" borderId="0" xfId="0" applyNumberFormat="1" applyFont="1"/>
    <xf numFmtId="168" fontId="2" fillId="0" borderId="0" xfId="0" applyNumberFormat="1" applyFont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3" xfId="0" applyNumberFormat="1" applyFont="1" applyBorder="1"/>
    <xf numFmtId="2" fontId="2" fillId="0" borderId="17" xfId="0" applyNumberFormat="1" applyFont="1" applyBorder="1"/>
    <xf numFmtId="2" fontId="2" fillId="0" borderId="19" xfId="0" applyNumberFormat="1" applyFont="1" applyBorder="1"/>
    <xf numFmtId="2" fontId="2" fillId="0" borderId="36" xfId="0" applyNumberFormat="1" applyFont="1" applyBorder="1"/>
    <xf numFmtId="2" fontId="2" fillId="0" borderId="1" xfId="0" applyNumberFormat="1" applyFont="1" applyBorder="1"/>
    <xf numFmtId="2" fontId="2" fillId="0" borderId="4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169" fontId="2" fillId="0" borderId="0" xfId="0" applyNumberFormat="1" applyFont="1"/>
    <xf numFmtId="0" fontId="3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8" fontId="2" fillId="0" borderId="18" xfId="0" applyNumberFormat="1" applyFont="1" applyBorder="1"/>
    <xf numFmtId="0" fontId="0" fillId="0" borderId="0" xfId="0" applyBorder="1"/>
  </cellXfs>
  <cellStyles count="12">
    <cellStyle name="A" xfId="10" xr:uid="{F016F04B-846C-4F2E-8F4A-626555E20FE7}"/>
    <cellStyle name="Comma" xfId="1" builtinId="3"/>
    <cellStyle name="Currency" xfId="7" builtinId="4"/>
    <cellStyle name="F" xfId="8" xr:uid="{73451BEA-7D2C-41D4-9E68-8D6951C98B21}"/>
    <cellStyle name="fa_column_header_bottom" xfId="6" xr:uid="{17E2B954-3101-465B-8BD3-318DE936728A}"/>
    <cellStyle name="fa_column_header_bottom_left" xfId="5" xr:uid="{D17DFF91-6B9D-4B08-958C-AFB1EF380D21}"/>
    <cellStyle name="fa_column_header_top" xfId="4" xr:uid="{95EB2D29-2CB0-4629-8969-D71E6615E6A7}"/>
    <cellStyle name="fa_column_header_top_left" xfId="3" xr:uid="{44BD48B1-316C-4F93-9BF4-9E7555432459}"/>
    <cellStyle name="Normal" xfId="0" builtinId="0"/>
    <cellStyle name="Normal 2" xfId="9" xr:uid="{10B82C08-DC28-45D5-BAE6-65982BE9C9C6}"/>
    <cellStyle name="Percent" xfId="2" builtinId="5"/>
    <cellStyle name="R" xfId="11" xr:uid="{589A92AF-3F4D-429A-88E0-96533815A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571501</xdr:colOff>
      <xdr:row>5</xdr:row>
      <xdr:rowOff>119742</xdr:rowOff>
    </xdr:from>
    <xdr:to>
      <xdr:col>4</xdr:col>
      <xdr:colOff>0</xdr:colOff>
      <xdr:row>9</xdr:row>
      <xdr:rowOff>76199</xdr:rowOff>
    </xdr:to>
    <xdr:pic>
      <xdr:nvPicPr>
        <xdr:cNvPr id="3" name="Picture 2" descr="Appian - Crunchbase Company Profile &amp; Funding">
          <a:extLst>
            <a:ext uri="{FF2B5EF4-FFF2-40B4-BE49-F238E27FC236}">
              <a16:creationId xmlns:a16="http://schemas.microsoft.com/office/drawing/2014/main" id="{6CA1F1E3-1666-4B25-9609-9EE4A992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1" y="1081767"/>
          <a:ext cx="1257299" cy="71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AC5-6838-43BD-961B-4532BB1E996F}">
  <dimension ref="B1:E10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2:5" ht="15.75" thickBot="1" x14ac:dyDescent="0.3"/>
    <row r="2" spans="2:5" x14ac:dyDescent="0.25">
      <c r="B2" s="241" t="s">
        <v>0</v>
      </c>
      <c r="C2" s="242"/>
      <c r="D2" s="242"/>
      <c r="E2" s="243"/>
    </row>
    <row r="3" spans="2:5" x14ac:dyDescent="0.25">
      <c r="B3" s="16" t="s">
        <v>3</v>
      </c>
      <c r="C3" s="5" t="s">
        <v>4</v>
      </c>
      <c r="D3" s="5"/>
      <c r="E3" s="22"/>
    </row>
    <row r="4" spans="2:5" x14ac:dyDescent="0.25">
      <c r="B4" s="16" t="s">
        <v>1</v>
      </c>
      <c r="C4" s="5"/>
      <c r="D4" s="5"/>
      <c r="E4" s="22"/>
    </row>
    <row r="5" spans="2:5" x14ac:dyDescent="0.25">
      <c r="B5" s="16" t="s">
        <v>2</v>
      </c>
      <c r="C5" s="5"/>
      <c r="D5" s="5"/>
      <c r="E5" s="244">
        <v>56.98</v>
      </c>
    </row>
    <row r="6" spans="2:5" x14ac:dyDescent="0.25">
      <c r="B6" s="16"/>
      <c r="C6" s="5"/>
      <c r="D6" s="5"/>
      <c r="E6" s="22"/>
    </row>
    <row r="7" spans="2:5" x14ac:dyDescent="0.25">
      <c r="B7" s="16"/>
      <c r="C7" s="5"/>
      <c r="D7" s="245"/>
      <c r="E7" s="22"/>
    </row>
    <row r="8" spans="2:5" x14ac:dyDescent="0.25">
      <c r="B8" s="16"/>
      <c r="C8" s="5"/>
      <c r="D8" s="5"/>
      <c r="E8" s="22"/>
    </row>
    <row r="9" spans="2:5" x14ac:dyDescent="0.25">
      <c r="B9" s="16"/>
      <c r="C9" s="5"/>
      <c r="D9" s="5"/>
      <c r="E9" s="22"/>
    </row>
    <row r="10" spans="2:5" ht="15.75" thickBot="1" x14ac:dyDescent="0.3">
      <c r="B10" s="23"/>
      <c r="C10" s="24"/>
      <c r="D10" s="24"/>
      <c r="E10" s="19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A4B-60E2-40E8-A01C-1501C9FD8C4A}">
  <dimension ref="B2:L28"/>
  <sheetViews>
    <sheetView showGridLines="0" workbookViewId="0"/>
  </sheetViews>
  <sheetFormatPr defaultRowHeight="15" x14ac:dyDescent="0.25"/>
  <cols>
    <col min="1" max="1" width="9.140625" style="1"/>
    <col min="2" max="2" width="3.5703125" style="1" customWidth="1"/>
    <col min="3" max="3" width="34.85546875" style="1" customWidth="1"/>
    <col min="4" max="5" width="11.85546875" style="1" bestFit="1" customWidth="1"/>
    <col min="6" max="6" width="12.140625" style="1" bestFit="1" customWidth="1"/>
    <col min="7" max="7" width="11.85546875" style="1" bestFit="1" customWidth="1"/>
    <col min="8" max="9" width="12.140625" style="1" bestFit="1" customWidth="1"/>
    <col min="10" max="10" width="12.7109375" style="1" bestFit="1" customWidth="1"/>
    <col min="11" max="11" width="11.28515625" style="1" bestFit="1" customWidth="1"/>
    <col min="12" max="12" width="11.85546875" style="1" bestFit="1" customWidth="1"/>
    <col min="13" max="16384" width="9.140625" style="1"/>
  </cols>
  <sheetData>
    <row r="2" spans="2:12" x14ac:dyDescent="0.25">
      <c r="B2" s="2" t="s">
        <v>5</v>
      </c>
    </row>
    <row r="3" spans="2:12" ht="15.75" thickBot="1" x14ac:dyDescent="0.3">
      <c r="B3" s="24"/>
      <c r="C3" s="24" t="s">
        <v>6</v>
      </c>
      <c r="D3" s="24"/>
      <c r="E3" s="24"/>
      <c r="F3" s="24"/>
      <c r="G3" s="24"/>
      <c r="H3" s="24"/>
      <c r="I3" s="24"/>
      <c r="J3" s="24"/>
      <c r="K3" s="24"/>
      <c r="L3" s="24"/>
    </row>
    <row r="4" spans="2:12" ht="15.75" thickBot="1" x14ac:dyDescent="0.3"/>
    <row r="5" spans="2:12" x14ac:dyDescent="0.25">
      <c r="B5" s="8" t="s">
        <v>7</v>
      </c>
      <c r="C5" s="9"/>
      <c r="D5" s="9" t="s">
        <v>31</v>
      </c>
      <c r="E5" s="9" t="s">
        <v>8</v>
      </c>
      <c r="F5" s="9" t="s">
        <v>9</v>
      </c>
      <c r="G5" s="9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11" t="s">
        <v>15</v>
      </c>
    </row>
    <row r="6" spans="2:12" x14ac:dyDescent="0.25">
      <c r="B6" s="12" t="s">
        <v>16</v>
      </c>
      <c r="C6" s="13"/>
      <c r="D6" s="32">
        <v>42735</v>
      </c>
      <c r="E6" s="13" t="s">
        <v>17</v>
      </c>
      <c r="F6" s="13" t="s">
        <v>18</v>
      </c>
      <c r="G6" s="13" t="s">
        <v>19</v>
      </c>
      <c r="H6" s="14" t="s">
        <v>20</v>
      </c>
      <c r="I6" s="13" t="s">
        <v>21</v>
      </c>
      <c r="J6" s="13" t="s">
        <v>22</v>
      </c>
      <c r="K6" s="13" t="s">
        <v>23</v>
      </c>
      <c r="L6" s="15" t="s">
        <v>24</v>
      </c>
    </row>
    <row r="7" spans="2:12" x14ac:dyDescent="0.25">
      <c r="B7" s="16" t="s">
        <v>6</v>
      </c>
      <c r="C7" s="5"/>
      <c r="D7" s="27">
        <v>132.91999999999999</v>
      </c>
      <c r="E7" s="27">
        <v>176.74</v>
      </c>
      <c r="F7" s="27">
        <v>226.74</v>
      </c>
      <c r="G7" s="27">
        <v>260.35000000000002</v>
      </c>
      <c r="H7" s="17">
        <f>H10+H19</f>
        <v>306.39716184271913</v>
      </c>
      <c r="I7" s="28">
        <f>I10+I19</f>
        <v>360.08741613344364</v>
      </c>
      <c r="J7" s="28">
        <f>J10+J19</f>
        <v>423.34246801985785</v>
      </c>
      <c r="K7" s="28">
        <f>K10+K19</f>
        <v>496.9618888574235</v>
      </c>
      <c r="L7" s="18">
        <f>L10+L19</f>
        <v>580.59936858928654</v>
      </c>
    </row>
    <row r="8" spans="2:12" x14ac:dyDescent="0.25">
      <c r="B8" s="19"/>
      <c r="C8" s="31" t="s">
        <v>25</v>
      </c>
      <c r="D8" s="29"/>
      <c r="E8" s="29">
        <f t="shared" ref="E8" si="0">E7/D7-1</f>
        <v>0.32967198314775814</v>
      </c>
      <c r="F8" s="29">
        <f t="shared" ref="F8:L8" si="1">F7/E7-1</f>
        <v>0.2829014371393006</v>
      </c>
      <c r="G8" s="29">
        <f t="shared" si="1"/>
        <v>0.14823145452941699</v>
      </c>
      <c r="H8" s="20">
        <f t="shared" si="1"/>
        <v>0.17686637926913429</v>
      </c>
      <c r="I8" s="29">
        <f t="shared" si="1"/>
        <v>0.17523091260970936</v>
      </c>
      <c r="J8" s="29">
        <f t="shared" si="1"/>
        <v>0.1756658218319207</v>
      </c>
      <c r="K8" s="29">
        <f t="shared" si="1"/>
        <v>0.17390039128820023</v>
      </c>
      <c r="L8" s="21">
        <f t="shared" si="1"/>
        <v>0.16829757292688163</v>
      </c>
    </row>
    <row r="9" spans="2:12" x14ac:dyDescent="0.25">
      <c r="B9" s="16" t="s">
        <v>33</v>
      </c>
      <c r="C9" s="5"/>
      <c r="D9" s="5"/>
      <c r="E9" s="30"/>
      <c r="F9" s="30"/>
      <c r="G9" s="30"/>
      <c r="H9" s="4"/>
      <c r="I9" s="5"/>
      <c r="J9" s="5"/>
      <c r="K9" s="5"/>
      <c r="L9" s="22"/>
    </row>
    <row r="10" spans="2:12" x14ac:dyDescent="0.25">
      <c r="B10" s="16"/>
      <c r="C10" s="5" t="s">
        <v>34</v>
      </c>
      <c r="D10" s="27">
        <v>69.97</v>
      </c>
      <c r="E10" s="27">
        <v>91.51</v>
      </c>
      <c r="F10" s="27">
        <v>126.01</v>
      </c>
      <c r="G10" s="27">
        <v>151.30000000000001</v>
      </c>
      <c r="H10" s="36">
        <f>H12+H15+H17</f>
        <v>192.84355814967836</v>
      </c>
      <c r="I10" s="37">
        <f t="shared" ref="I10:L10" si="2">I12+I15+I17</f>
        <v>244.18901450849057</v>
      </c>
      <c r="J10" s="37">
        <f t="shared" si="2"/>
        <v>306.24745825740894</v>
      </c>
      <c r="K10" s="37">
        <f t="shared" si="2"/>
        <v>379.26239775797001</v>
      </c>
      <c r="L10" s="38">
        <f t="shared" si="2"/>
        <v>462.59607655976401</v>
      </c>
    </row>
    <row r="11" spans="2:12" x14ac:dyDescent="0.25">
      <c r="B11" s="16"/>
      <c r="C11" s="31" t="s">
        <v>25</v>
      </c>
      <c r="D11" s="29"/>
      <c r="E11" s="29">
        <f t="shared" ref="E11:L11" si="3">E10/D10-1</f>
        <v>0.30784621980848947</v>
      </c>
      <c r="F11" s="29">
        <f t="shared" si="3"/>
        <v>0.37700797727024371</v>
      </c>
      <c r="G11" s="29">
        <f t="shared" si="3"/>
        <v>0.20069835727323238</v>
      </c>
      <c r="H11" s="39">
        <f t="shared" si="3"/>
        <v>0.27457738367269235</v>
      </c>
      <c r="I11" s="40">
        <f t="shared" si="3"/>
        <v>0.2662544543954104</v>
      </c>
      <c r="J11" s="40">
        <f t="shared" si="3"/>
        <v>0.25414101397571498</v>
      </c>
      <c r="K11" s="40">
        <f t="shared" si="3"/>
        <v>0.2384181077486367</v>
      </c>
      <c r="L11" s="41">
        <f t="shared" si="3"/>
        <v>0.2197256550990172</v>
      </c>
    </row>
    <row r="12" spans="2:12" x14ac:dyDescent="0.25">
      <c r="B12" s="16"/>
      <c r="C12" s="5" t="s">
        <v>36</v>
      </c>
      <c r="D12" s="27">
        <v>35.520000000000003</v>
      </c>
      <c r="E12" s="27">
        <v>40.229999999999997</v>
      </c>
      <c r="F12" s="27">
        <v>67.44</v>
      </c>
      <c r="G12" s="27">
        <v>95.03</v>
      </c>
      <c r="H12" s="36">
        <f>G12*(1+H13)</f>
        <v>131.05629009489917</v>
      </c>
      <c r="I12" s="37">
        <f t="shared" ref="I12:L12" si="4">H12*(1+I13)</f>
        <v>176.80861618443458</v>
      </c>
      <c r="J12" s="37">
        <f t="shared" si="4"/>
        <v>233.22902163721491</v>
      </c>
      <c r="K12" s="37">
        <f t="shared" si="4"/>
        <v>300.65655545490625</v>
      </c>
      <c r="L12" s="38">
        <f t="shared" si="4"/>
        <v>378.55798858092982</v>
      </c>
    </row>
    <row r="13" spans="2:12" x14ac:dyDescent="0.25">
      <c r="B13" s="16"/>
      <c r="C13" s="31" t="s">
        <v>37</v>
      </c>
      <c r="D13" s="29"/>
      <c r="E13" s="29">
        <f t="shared" ref="E13:G13" si="5">E12/D12-1</f>
        <v>0.13260135135135109</v>
      </c>
      <c r="F13" s="29">
        <f t="shared" si="5"/>
        <v>0.67636092468307241</v>
      </c>
      <c r="G13" s="34">
        <f t="shared" si="5"/>
        <v>0.40910438908659552</v>
      </c>
      <c r="H13" s="42">
        <f>G13-3%</f>
        <v>0.37910438908659549</v>
      </c>
      <c r="I13" s="42">
        <f t="shared" ref="I13:L13" si="6">H13-3%</f>
        <v>0.34910438908659547</v>
      </c>
      <c r="J13" s="42">
        <f t="shared" si="6"/>
        <v>0.31910438908659544</v>
      </c>
      <c r="K13" s="42">
        <f t="shared" si="6"/>
        <v>0.28910438908659541</v>
      </c>
      <c r="L13" s="46">
        <f t="shared" si="6"/>
        <v>0.25910438908659539</v>
      </c>
    </row>
    <row r="14" spans="2:12" x14ac:dyDescent="0.25">
      <c r="B14" s="16"/>
      <c r="C14" s="31" t="s">
        <v>38</v>
      </c>
      <c r="D14" s="35">
        <v>1.1200000000000001</v>
      </c>
      <c r="E14" s="35">
        <v>1.32</v>
      </c>
      <c r="F14" s="35">
        <v>1.31</v>
      </c>
      <c r="G14" s="43">
        <v>1.1499999999999999</v>
      </c>
      <c r="H14" s="42">
        <f>AVERAGE(D14:G14)</f>
        <v>1.2250000000000001</v>
      </c>
      <c r="I14" s="42">
        <f>H14+1%</f>
        <v>1.2350000000000001</v>
      </c>
      <c r="J14" s="42">
        <f t="shared" ref="J14:L14" si="7">I14+1%</f>
        <v>1.2450000000000001</v>
      </c>
      <c r="K14" s="42">
        <f t="shared" si="7"/>
        <v>1.2550000000000001</v>
      </c>
      <c r="L14" s="46">
        <f t="shared" si="7"/>
        <v>1.2650000000000001</v>
      </c>
    </row>
    <row r="15" spans="2:12" x14ac:dyDescent="0.25">
      <c r="B15" s="16"/>
      <c r="C15" s="5" t="s">
        <v>39</v>
      </c>
      <c r="D15" s="27">
        <v>27.8</v>
      </c>
      <c r="E15" s="27">
        <v>30.55</v>
      </c>
      <c r="F15" s="27">
        <v>35.78</v>
      </c>
      <c r="G15" s="27">
        <v>40.43</v>
      </c>
      <c r="H15" s="36">
        <f>G15*(1+H16)</f>
        <v>45.280018054779198</v>
      </c>
      <c r="I15" s="37">
        <f t="shared" ref="I15" si="8">H15*(1+I16)</f>
        <v>50.259048324055975</v>
      </c>
      <c r="J15" s="37">
        <f t="shared" ref="J15" si="9">I15*(1+J16)</f>
        <v>55.282986620193995</v>
      </c>
      <c r="K15" s="37">
        <f t="shared" ref="K15" si="10">J15*(1+K16)</f>
        <v>60.256292303063759</v>
      </c>
      <c r="L15" s="38">
        <f t="shared" ref="L15" si="11">K15*(1+L16)</f>
        <v>65.074437978834155</v>
      </c>
    </row>
    <row r="16" spans="2:12" x14ac:dyDescent="0.25">
      <c r="B16" s="16"/>
      <c r="C16" s="31" t="s">
        <v>37</v>
      </c>
      <c r="D16" s="27"/>
      <c r="E16" s="29">
        <f t="shared" ref="E16:E18" si="12">E15/D15-1</f>
        <v>9.8920863309352569E-2</v>
      </c>
      <c r="F16" s="29">
        <f t="shared" ref="F16" si="13">F15/E15-1</f>
        <v>0.17119476268412437</v>
      </c>
      <c r="G16" s="34">
        <f t="shared" ref="G16" si="14">G15/F15-1</f>
        <v>0.12996087199552808</v>
      </c>
      <c r="H16" s="42">
        <f>G16-1%</f>
        <v>0.11996087199552809</v>
      </c>
      <c r="I16" s="42">
        <f t="shared" ref="I16:L16" si="15">H16-1%</f>
        <v>0.10996087199552809</v>
      </c>
      <c r="J16" s="42">
        <f t="shared" si="15"/>
        <v>9.9960871995528097E-2</v>
      </c>
      <c r="K16" s="42">
        <f t="shared" si="15"/>
        <v>8.9960871995528102E-2</v>
      </c>
      <c r="L16" s="46">
        <f t="shared" si="15"/>
        <v>7.9960871995528107E-2</v>
      </c>
    </row>
    <row r="17" spans="2:12" x14ac:dyDescent="0.25">
      <c r="B17" s="16"/>
      <c r="C17" s="26" t="s">
        <v>40</v>
      </c>
      <c r="D17" s="27">
        <v>6.65</v>
      </c>
      <c r="E17" s="27">
        <v>20.73</v>
      </c>
      <c r="F17" s="27">
        <v>22.79</v>
      </c>
      <c r="G17" s="44">
        <v>15.84</v>
      </c>
      <c r="H17" s="27">
        <f>0.6141*122.5-58.72</f>
        <v>16.507249999999999</v>
      </c>
      <c r="I17" s="27">
        <f>0.6141*123.5-58.72</f>
        <v>17.121349999999993</v>
      </c>
      <c r="J17" s="27">
        <f>0.6141*124.5-58.72</f>
        <v>17.73545</v>
      </c>
      <c r="K17" s="27">
        <f>0.6141*125.5-58.72</f>
        <v>18.349549999999994</v>
      </c>
      <c r="L17" s="47">
        <f>0.6141*126.5-58.72</f>
        <v>18.963650000000001</v>
      </c>
    </row>
    <row r="18" spans="2:12" x14ac:dyDescent="0.25">
      <c r="B18" s="16"/>
      <c r="C18" s="31" t="s">
        <v>37</v>
      </c>
      <c r="D18" s="27"/>
      <c r="E18" s="29">
        <f t="shared" si="12"/>
        <v>2.1172932330827066</v>
      </c>
      <c r="F18" s="29">
        <f t="shared" ref="F18" si="16">F17/E17-1</f>
        <v>9.9372889532079123E-2</v>
      </c>
      <c r="G18" s="34">
        <f t="shared" ref="G18" si="17">G17/F17-1</f>
        <v>-0.30495831505046067</v>
      </c>
      <c r="H18" s="40">
        <f t="shared" ref="H18" si="18">H17/G17-1</f>
        <v>4.2124368686868641E-2</v>
      </c>
      <c r="I18" s="40">
        <f t="shared" ref="I18" si="19">I17/H17-1</f>
        <v>3.7201835557103324E-2</v>
      </c>
      <c r="J18" s="40">
        <f t="shared" ref="J18" si="20">J17/I17-1</f>
        <v>3.586749876616091E-2</v>
      </c>
      <c r="K18" s="40">
        <f t="shared" ref="K18" si="21">K17/J17-1</f>
        <v>3.4625566309284039E-2</v>
      </c>
      <c r="L18" s="41">
        <f t="shared" ref="L18" si="22">L17/K17-1</f>
        <v>3.3466760765250791E-2</v>
      </c>
    </row>
    <row r="19" spans="2:12" x14ac:dyDescent="0.25">
      <c r="B19" s="16"/>
      <c r="C19" s="5" t="s">
        <v>35</v>
      </c>
      <c r="D19" s="27">
        <v>62.95</v>
      </c>
      <c r="E19" s="27">
        <v>85.22</v>
      </c>
      <c r="F19" s="27">
        <v>100.73</v>
      </c>
      <c r="G19" s="27">
        <v>109.05</v>
      </c>
      <c r="H19" s="36">
        <f>G19*(1+H20)</f>
        <v>113.5536036930408</v>
      </c>
      <c r="I19" s="37">
        <f>H19*(1+I20)</f>
        <v>115.89840162495308</v>
      </c>
      <c r="J19" s="37">
        <f>I19*(1+J20)</f>
        <v>117.09500976244888</v>
      </c>
      <c r="K19" s="37">
        <f>J19*(1+K20)</f>
        <v>117.69949109945348</v>
      </c>
      <c r="L19" s="38">
        <f>K19*(1+L20)</f>
        <v>118.00329202952254</v>
      </c>
    </row>
    <row r="20" spans="2:12" ht="15.75" thickBot="1" x14ac:dyDescent="0.3">
      <c r="B20" s="23"/>
      <c r="C20" s="33" t="s">
        <v>25</v>
      </c>
      <c r="D20" s="25"/>
      <c r="E20" s="25">
        <f t="shared" ref="E20" si="23">E19/D19-1</f>
        <v>0.35377283558379657</v>
      </c>
      <c r="F20" s="25">
        <f>F19/E19-1</f>
        <v>0.18199953062661356</v>
      </c>
      <c r="G20" s="45">
        <f>G19/F19-1</f>
        <v>8.2597041596346621E-2</v>
      </c>
      <c r="H20" s="115">
        <f>G20/2</f>
        <v>4.129852079817331E-2</v>
      </c>
      <c r="I20" s="115">
        <f t="shared" ref="I20:L20" si="24">H20/2</f>
        <v>2.0649260399086655E-2</v>
      </c>
      <c r="J20" s="115">
        <f t="shared" si="24"/>
        <v>1.0324630199543328E-2</v>
      </c>
      <c r="K20" s="115">
        <f t="shared" si="24"/>
        <v>5.1623150997716638E-3</v>
      </c>
      <c r="L20" s="116">
        <f t="shared" si="24"/>
        <v>2.5811575498858319E-3</v>
      </c>
    </row>
    <row r="28" spans="2:12" x14ac:dyDescent="0.25">
      <c r="C28" s="158"/>
    </row>
  </sheetData>
  <pageMargins left="0.7" right="0.7" top="0.75" bottom="0.75" header="0.3" footer="0.3"/>
  <ignoredErrors>
    <ignoredError sqref="H16:L16" formula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E103-6048-4E66-A184-94F1CAFC4F8F}">
  <dimension ref="B2:N29"/>
  <sheetViews>
    <sheetView showGridLines="0" workbookViewId="0"/>
  </sheetViews>
  <sheetFormatPr defaultRowHeight="15" x14ac:dyDescent="0.25"/>
  <cols>
    <col min="1" max="1" width="9.140625" style="1"/>
    <col min="2" max="2" width="3.5703125" style="1" customWidth="1"/>
    <col min="3" max="3" width="33.5703125" style="1" customWidth="1"/>
    <col min="4" max="12" width="11.28515625" style="1" bestFit="1" customWidth="1"/>
    <col min="13" max="13" width="11.85546875" style="1" bestFit="1" customWidth="1"/>
    <col min="14" max="16384" width="9.140625" style="1"/>
  </cols>
  <sheetData>
    <row r="2" spans="2:14" x14ac:dyDescent="0.25">
      <c r="B2" s="2" t="s">
        <v>26</v>
      </c>
    </row>
    <row r="3" spans="2:14" ht="15.75" thickBot="1" x14ac:dyDescent="0.3">
      <c r="B3" s="24"/>
      <c r="C3" s="24" t="s">
        <v>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5"/>
    </row>
    <row r="4" spans="2:14" ht="15.75" thickBot="1" x14ac:dyDescent="0.3"/>
    <row r="5" spans="2:14" x14ac:dyDescent="0.25">
      <c r="B5" s="8" t="s">
        <v>7</v>
      </c>
      <c r="C5" s="9"/>
      <c r="D5" s="9" t="s">
        <v>32</v>
      </c>
      <c r="E5" s="9" t="s">
        <v>31</v>
      </c>
      <c r="F5" s="9" t="s">
        <v>8</v>
      </c>
      <c r="G5" s="9" t="s">
        <v>9</v>
      </c>
      <c r="H5" s="9" t="s">
        <v>10</v>
      </c>
      <c r="I5" s="10" t="s">
        <v>11</v>
      </c>
      <c r="J5" s="9" t="s">
        <v>12</v>
      </c>
      <c r="K5" s="9" t="s">
        <v>13</v>
      </c>
      <c r="L5" s="9" t="s">
        <v>14</v>
      </c>
      <c r="M5" s="11" t="s">
        <v>15</v>
      </c>
    </row>
    <row r="6" spans="2:14" x14ac:dyDescent="0.25">
      <c r="B6" s="12" t="s">
        <v>16</v>
      </c>
      <c r="C6" s="13"/>
      <c r="D6" s="48">
        <v>42369</v>
      </c>
      <c r="E6" s="32">
        <v>42735</v>
      </c>
      <c r="F6" s="13" t="s">
        <v>17</v>
      </c>
      <c r="G6" s="13" t="s">
        <v>18</v>
      </c>
      <c r="H6" s="13" t="s">
        <v>19</v>
      </c>
      <c r="I6" s="14" t="s">
        <v>20</v>
      </c>
      <c r="J6" s="13" t="s">
        <v>21</v>
      </c>
      <c r="K6" s="13" t="s">
        <v>22</v>
      </c>
      <c r="L6" s="13" t="s">
        <v>23</v>
      </c>
      <c r="M6" s="15" t="s">
        <v>24</v>
      </c>
    </row>
    <row r="7" spans="2:14" x14ac:dyDescent="0.25">
      <c r="B7" s="70" t="s">
        <v>41</v>
      </c>
      <c r="C7" s="3"/>
      <c r="D7" s="52">
        <v>111.2</v>
      </c>
      <c r="E7" s="53">
        <f>'Revenue Build'!D7</f>
        <v>132.91999999999999</v>
      </c>
      <c r="F7" s="53">
        <f>'Revenue Build'!E7</f>
        <v>176.74</v>
      </c>
      <c r="G7" s="53">
        <f>'Revenue Build'!F7</f>
        <v>226.74</v>
      </c>
      <c r="H7" s="54">
        <f>'Revenue Build'!G7</f>
        <v>260.35000000000002</v>
      </c>
      <c r="I7" s="49">
        <f>'Revenue Build'!H7</f>
        <v>306.39716184271913</v>
      </c>
      <c r="J7" s="49">
        <f>'Revenue Build'!I7</f>
        <v>360.08741613344364</v>
      </c>
      <c r="K7" s="49">
        <f>'Revenue Build'!J7</f>
        <v>423.34246801985785</v>
      </c>
      <c r="L7" s="49">
        <f>'Revenue Build'!K7</f>
        <v>496.9618888574235</v>
      </c>
      <c r="M7" s="71">
        <f>'Revenue Build'!L7</f>
        <v>580.59936858928654</v>
      </c>
    </row>
    <row r="8" spans="2:14" x14ac:dyDescent="0.25">
      <c r="B8" s="72" t="s">
        <v>42</v>
      </c>
      <c r="C8" s="5"/>
      <c r="D8" s="5"/>
      <c r="E8" s="29">
        <f t="shared" ref="E8" si="0">E7/D7-1</f>
        <v>0.19532374100719418</v>
      </c>
      <c r="F8" s="29">
        <f t="shared" ref="F8" si="1">F7/E7-1</f>
        <v>0.32967198314775814</v>
      </c>
      <c r="G8" s="29">
        <f t="shared" ref="G8" si="2">G7/F7-1</f>
        <v>0.2829014371393006</v>
      </c>
      <c r="H8" s="34">
        <f t="shared" ref="H8" si="3">H7/G7-1</f>
        <v>0.14823145452941699</v>
      </c>
      <c r="I8" s="29">
        <f t="shared" ref="I8" si="4">I7/H7-1</f>
        <v>0.17686637926913429</v>
      </c>
      <c r="J8" s="29">
        <f t="shared" ref="J8" si="5">J7/I7-1</f>
        <v>0.17523091260970936</v>
      </c>
      <c r="K8" s="29">
        <f t="shared" ref="K8" si="6">K7/J7-1</f>
        <v>0.1756658218319207</v>
      </c>
      <c r="L8" s="29">
        <f t="shared" ref="L8" si="7">L7/K7-1</f>
        <v>0.17390039128820023</v>
      </c>
      <c r="M8" s="21">
        <f t="shared" ref="M8" si="8">M7/L7-1</f>
        <v>0.16829757292688163</v>
      </c>
    </row>
    <row r="9" spans="2:14" x14ac:dyDescent="0.25">
      <c r="B9" s="16"/>
      <c r="C9" s="5" t="s">
        <v>43</v>
      </c>
      <c r="D9" s="5"/>
      <c r="E9" s="5"/>
      <c r="F9" s="5"/>
      <c r="G9" s="5"/>
      <c r="H9" s="6"/>
      <c r="I9" s="5"/>
      <c r="J9" s="5"/>
      <c r="K9" s="5"/>
      <c r="L9" s="5"/>
      <c r="M9" s="22"/>
    </row>
    <row r="10" spans="2:14" x14ac:dyDescent="0.25">
      <c r="B10" s="16"/>
      <c r="C10" s="5" t="s">
        <v>44</v>
      </c>
      <c r="D10" s="27">
        <v>48.48</v>
      </c>
      <c r="E10" s="27">
        <v>50.12</v>
      </c>
      <c r="F10" s="27">
        <v>64.599999999999994</v>
      </c>
      <c r="G10" s="27">
        <v>84.93</v>
      </c>
      <c r="H10" s="44">
        <v>93.84</v>
      </c>
      <c r="I10" s="28">
        <f>I7*I11</f>
        <v>110.30297826337888</v>
      </c>
      <c r="J10" s="28">
        <f t="shared" ref="J10:M10" si="9">J7*J11</f>
        <v>129.6314698080397</v>
      </c>
      <c r="K10" s="28">
        <f t="shared" si="9"/>
        <v>152.40328848714881</v>
      </c>
      <c r="L10" s="28">
        <f t="shared" si="9"/>
        <v>178.90627998867245</v>
      </c>
      <c r="M10" s="18">
        <f t="shared" si="9"/>
        <v>209.01577269214314</v>
      </c>
    </row>
    <row r="11" spans="2:14" x14ac:dyDescent="0.25">
      <c r="B11" s="16"/>
      <c r="C11" s="55" t="s">
        <v>45</v>
      </c>
      <c r="D11" s="56">
        <f>D10/D7</f>
        <v>0.4359712230215827</v>
      </c>
      <c r="E11" s="56">
        <f t="shared" ref="E11:H11" si="10">E10/E7</f>
        <v>0.37706891363226003</v>
      </c>
      <c r="F11" s="56">
        <f t="shared" si="10"/>
        <v>0.36550865678397643</v>
      </c>
      <c r="G11" s="56">
        <f t="shared" si="10"/>
        <v>0.37456999206139191</v>
      </c>
      <c r="H11" s="57">
        <f t="shared" si="10"/>
        <v>0.36043787209525635</v>
      </c>
      <c r="I11" s="42">
        <v>0.36</v>
      </c>
      <c r="J11" s="42">
        <f>I11</f>
        <v>0.36</v>
      </c>
      <c r="K11" s="42">
        <f t="shared" ref="K11:M11" si="11">J11</f>
        <v>0.36</v>
      </c>
      <c r="L11" s="42">
        <f t="shared" si="11"/>
        <v>0.36</v>
      </c>
      <c r="M11" s="46">
        <f t="shared" si="11"/>
        <v>0.36</v>
      </c>
    </row>
    <row r="12" spans="2:14" x14ac:dyDescent="0.25">
      <c r="B12" s="70" t="s">
        <v>46</v>
      </c>
      <c r="C12" s="3"/>
      <c r="D12" s="61">
        <f>D7-D10</f>
        <v>62.720000000000006</v>
      </c>
      <c r="E12" s="61">
        <f t="shared" ref="E12:M12" si="12">E7-E10</f>
        <v>82.799999999999983</v>
      </c>
      <c r="F12" s="61">
        <f t="shared" si="12"/>
        <v>112.14000000000001</v>
      </c>
      <c r="G12" s="61">
        <f t="shared" si="12"/>
        <v>141.81</v>
      </c>
      <c r="H12" s="62">
        <f t="shared" si="12"/>
        <v>166.51000000000002</v>
      </c>
      <c r="I12" s="61">
        <f t="shared" si="12"/>
        <v>196.09418357934027</v>
      </c>
      <c r="J12" s="61">
        <f t="shared" si="12"/>
        <v>230.45594632540394</v>
      </c>
      <c r="K12" s="61">
        <f t="shared" si="12"/>
        <v>270.93917953270903</v>
      </c>
      <c r="L12" s="61">
        <f t="shared" si="12"/>
        <v>318.05560886875105</v>
      </c>
      <c r="M12" s="73">
        <f t="shared" si="12"/>
        <v>371.58359589714337</v>
      </c>
    </row>
    <row r="13" spans="2:14" x14ac:dyDescent="0.25">
      <c r="B13" s="16"/>
      <c r="C13" s="5" t="s">
        <v>47</v>
      </c>
      <c r="D13" s="58">
        <f>D14+D16</f>
        <v>67.569999999999993</v>
      </c>
      <c r="E13" s="58">
        <f t="shared" ref="E13:M13" si="13">E14+E16</f>
        <v>94.17</v>
      </c>
      <c r="F13" s="58">
        <f t="shared" si="13"/>
        <v>143.96</v>
      </c>
      <c r="G13" s="58">
        <f t="shared" si="13"/>
        <v>188.53</v>
      </c>
      <c r="H13" s="59">
        <f t="shared" si="13"/>
        <v>216.98</v>
      </c>
      <c r="I13" s="58">
        <f t="shared" si="13"/>
        <v>232.58869052474557</v>
      </c>
      <c r="J13" s="58">
        <f t="shared" si="13"/>
        <v>251.74017406008738</v>
      </c>
      <c r="K13" s="58">
        <f t="shared" si="13"/>
        <v>270.5617705432719</v>
      </c>
      <c r="L13" s="58">
        <f t="shared" si="13"/>
        <v>287.79485497692974</v>
      </c>
      <c r="M13" s="74">
        <f t="shared" si="13"/>
        <v>301.39406845503368</v>
      </c>
    </row>
    <row r="14" spans="2:14" x14ac:dyDescent="0.25">
      <c r="B14" s="16"/>
      <c r="C14" s="5" t="s">
        <v>48</v>
      </c>
      <c r="D14" s="27">
        <v>50.82</v>
      </c>
      <c r="E14" s="27">
        <v>71.180000000000007</v>
      </c>
      <c r="F14" s="27">
        <v>109.12</v>
      </c>
      <c r="G14" s="27">
        <v>143.81</v>
      </c>
      <c r="H14" s="44">
        <v>158.94</v>
      </c>
      <c r="I14" s="28">
        <f>I7*I15</f>
        <v>174.93225902253559</v>
      </c>
      <c r="J14" s="28">
        <f t="shared" ref="J14:M14" si="14">J7*J15</f>
        <v>194.78317593192926</v>
      </c>
      <c r="K14" s="28">
        <f t="shared" si="14"/>
        <v>216.29964857044746</v>
      </c>
      <c r="L14" s="28">
        <f t="shared" si="14"/>
        <v>239.00538542662576</v>
      </c>
      <c r="M14" s="18">
        <f t="shared" si="14"/>
        <v>261.81143065270214</v>
      </c>
    </row>
    <row r="15" spans="2:14" x14ac:dyDescent="0.25">
      <c r="B15" s="16"/>
      <c r="C15" s="55" t="s">
        <v>50</v>
      </c>
      <c r="D15" s="56">
        <f>D14/D7</f>
        <v>0.45701438848920861</v>
      </c>
      <c r="E15" s="56">
        <f t="shared" ref="E15:H15" si="15">E14/E7</f>
        <v>0.53551008125188093</v>
      </c>
      <c r="F15" s="56">
        <f t="shared" si="15"/>
        <v>0.6174040964128098</v>
      </c>
      <c r="G15" s="56">
        <f t="shared" si="15"/>
        <v>0.63425068360236392</v>
      </c>
      <c r="H15" s="57">
        <f t="shared" si="15"/>
        <v>0.61048588438640283</v>
      </c>
      <c r="I15" s="42">
        <f>AVERAGE(D15:H15)</f>
        <v>0.5709330268285332</v>
      </c>
      <c r="J15" s="42">
        <f>I15 - 3%</f>
        <v>0.54093302682853317</v>
      </c>
      <c r="K15" s="42">
        <f t="shared" ref="K15:M15" si="16">J15 - 3%</f>
        <v>0.51093302682853314</v>
      </c>
      <c r="L15" s="42">
        <f t="shared" si="16"/>
        <v>0.48093302682853312</v>
      </c>
      <c r="M15" s="46">
        <f t="shared" si="16"/>
        <v>0.45093302682853309</v>
      </c>
    </row>
    <row r="16" spans="2:14" x14ac:dyDescent="0.25">
      <c r="B16" s="16"/>
      <c r="C16" s="5" t="s">
        <v>49</v>
      </c>
      <c r="D16" s="27">
        <v>16.75</v>
      </c>
      <c r="E16" s="27">
        <v>22.99</v>
      </c>
      <c r="F16" s="27">
        <v>34.840000000000003</v>
      </c>
      <c r="G16" s="27">
        <v>44.72</v>
      </c>
      <c r="H16" s="44">
        <v>58.04</v>
      </c>
      <c r="I16" s="28">
        <f>I7*I17</f>
        <v>57.656431502209976</v>
      </c>
      <c r="J16" s="28">
        <f t="shared" ref="J16:M16" si="17">J7*J17</f>
        <v>56.956998128158119</v>
      </c>
      <c r="K16" s="28">
        <f t="shared" si="17"/>
        <v>54.262121972824453</v>
      </c>
      <c r="L16" s="28">
        <f t="shared" si="17"/>
        <v>48.789469550303963</v>
      </c>
      <c r="M16" s="18">
        <f t="shared" si="17"/>
        <v>39.582637802331512</v>
      </c>
    </row>
    <row r="17" spans="2:13" x14ac:dyDescent="0.25">
      <c r="B17" s="75"/>
      <c r="C17" s="63" t="s">
        <v>50</v>
      </c>
      <c r="D17" s="64">
        <f>D16/D7</f>
        <v>0.15062949640287771</v>
      </c>
      <c r="E17" s="64">
        <f t="shared" ref="E17:H17" si="18">E16/E7</f>
        <v>0.1729611796569365</v>
      </c>
      <c r="F17" s="64">
        <f t="shared" si="18"/>
        <v>0.19712572139866472</v>
      </c>
      <c r="G17" s="64">
        <f t="shared" si="18"/>
        <v>0.19723030784158066</v>
      </c>
      <c r="H17" s="65">
        <f t="shared" si="18"/>
        <v>0.22293067025158439</v>
      </c>
      <c r="I17" s="66">
        <f>AVERAGE(D17:H17)</f>
        <v>0.18817547511032878</v>
      </c>
      <c r="J17" s="66">
        <f>I17 - 3%</f>
        <v>0.15817547511032878</v>
      </c>
      <c r="K17" s="66">
        <f t="shared" ref="K17:M17" si="19">J17 - 3%</f>
        <v>0.12817547511032878</v>
      </c>
      <c r="L17" s="66">
        <f t="shared" si="19"/>
        <v>9.8175475110328786E-2</v>
      </c>
      <c r="M17" s="76">
        <f t="shared" si="19"/>
        <v>6.8175475110328787E-2</v>
      </c>
    </row>
    <row r="18" spans="2:13" x14ac:dyDescent="0.25">
      <c r="B18" s="70" t="s">
        <v>51</v>
      </c>
      <c r="C18" s="3"/>
      <c r="D18" s="61">
        <f>D12-D13</f>
        <v>-4.8499999999999872</v>
      </c>
      <c r="E18" s="61">
        <f t="shared" ref="E18:M18" si="20">E12-E13</f>
        <v>-11.370000000000019</v>
      </c>
      <c r="F18" s="61">
        <f t="shared" si="20"/>
        <v>-31.819999999999993</v>
      </c>
      <c r="G18" s="61">
        <f t="shared" si="20"/>
        <v>-46.72</v>
      </c>
      <c r="H18" s="62">
        <f t="shared" si="20"/>
        <v>-50.46999999999997</v>
      </c>
      <c r="I18" s="28">
        <f t="shared" si="20"/>
        <v>-36.494506945405305</v>
      </c>
      <c r="J18" s="28">
        <f t="shared" si="20"/>
        <v>-21.284227734683441</v>
      </c>
      <c r="K18" s="28">
        <f t="shared" si="20"/>
        <v>0.37740898943712864</v>
      </c>
      <c r="L18" s="28">
        <f t="shared" si="20"/>
        <v>30.260753891821309</v>
      </c>
      <c r="M18" s="18">
        <f t="shared" si="20"/>
        <v>70.189527442109693</v>
      </c>
    </row>
    <row r="19" spans="2:13" x14ac:dyDescent="0.25">
      <c r="B19" s="16"/>
      <c r="C19" s="5" t="s">
        <v>53</v>
      </c>
      <c r="D19" s="27">
        <v>-0.3</v>
      </c>
      <c r="E19" s="27">
        <v>-0.3</v>
      </c>
      <c r="F19" s="27">
        <v>-0.3</v>
      </c>
      <c r="G19" s="27">
        <v>0</v>
      </c>
      <c r="H19" s="44">
        <v>0</v>
      </c>
      <c r="I19" s="28">
        <v>0</v>
      </c>
      <c r="J19" s="28">
        <v>0</v>
      </c>
      <c r="K19" s="28">
        <v>0</v>
      </c>
      <c r="L19" s="28">
        <v>0</v>
      </c>
      <c r="M19" s="18">
        <v>0</v>
      </c>
    </row>
    <row r="20" spans="2:13" x14ac:dyDescent="0.25">
      <c r="B20" s="16"/>
      <c r="C20" s="5" t="s">
        <v>55</v>
      </c>
      <c r="D20" s="27">
        <v>-0.2</v>
      </c>
      <c r="E20" s="27">
        <v>-1</v>
      </c>
      <c r="F20" s="27">
        <v>-0.3</v>
      </c>
      <c r="G20" s="27">
        <v>0.5</v>
      </c>
      <c r="H20" s="44">
        <v>0.92</v>
      </c>
      <c r="I20" s="28">
        <v>0</v>
      </c>
      <c r="J20" s="28">
        <v>0</v>
      </c>
      <c r="K20" s="28">
        <v>0</v>
      </c>
      <c r="L20" s="28">
        <v>0</v>
      </c>
      <c r="M20" s="18">
        <v>0</v>
      </c>
    </row>
    <row r="21" spans="2:13" x14ac:dyDescent="0.25">
      <c r="B21" s="75"/>
      <c r="C21" s="7" t="s">
        <v>54</v>
      </c>
      <c r="D21" s="83">
        <v>-1.3</v>
      </c>
      <c r="E21" s="83">
        <v>-1.5</v>
      </c>
      <c r="F21" s="83">
        <v>2.2000000000000002</v>
      </c>
      <c r="G21" s="83">
        <v>-3</v>
      </c>
      <c r="H21" s="84">
        <v>-0.2</v>
      </c>
      <c r="I21" s="67">
        <v>0</v>
      </c>
      <c r="J21" s="67">
        <v>0</v>
      </c>
      <c r="K21" s="67">
        <v>0</v>
      </c>
      <c r="L21" s="67">
        <v>0</v>
      </c>
      <c r="M21" s="77">
        <v>0</v>
      </c>
    </row>
    <row r="22" spans="2:13" x14ac:dyDescent="0.25">
      <c r="B22" s="78" t="s">
        <v>56</v>
      </c>
      <c r="C22" s="55"/>
      <c r="D22" s="28">
        <f>D18+D19+D20+D21</f>
        <v>-6.649999999999987</v>
      </c>
      <c r="E22" s="28">
        <f t="shared" ref="E22:M22" si="21">E18+E19+E20+E21</f>
        <v>-14.170000000000019</v>
      </c>
      <c r="F22" s="28">
        <f t="shared" si="21"/>
        <v>-30.219999999999988</v>
      </c>
      <c r="G22" s="28">
        <f t="shared" si="21"/>
        <v>-49.22</v>
      </c>
      <c r="H22" s="60">
        <f t="shared" si="21"/>
        <v>-49.749999999999972</v>
      </c>
      <c r="I22" s="28">
        <f t="shared" si="21"/>
        <v>-36.494506945405305</v>
      </c>
      <c r="J22" s="28">
        <f t="shared" si="21"/>
        <v>-21.284227734683441</v>
      </c>
      <c r="K22" s="28">
        <f t="shared" si="21"/>
        <v>0.37740898943712864</v>
      </c>
      <c r="L22" s="28">
        <f t="shared" si="21"/>
        <v>30.260753891821309</v>
      </c>
      <c r="M22" s="18">
        <f t="shared" si="21"/>
        <v>70.189527442109693</v>
      </c>
    </row>
    <row r="23" spans="2:13" x14ac:dyDescent="0.25">
      <c r="B23" s="16"/>
      <c r="C23" s="5" t="s">
        <v>57</v>
      </c>
      <c r="D23" s="27">
        <v>0.378</v>
      </c>
      <c r="E23" s="27">
        <v>-1.7</v>
      </c>
      <c r="F23" s="27">
        <v>0.76100000000000001</v>
      </c>
      <c r="G23" s="27">
        <v>0.23899999999999999</v>
      </c>
      <c r="H23" s="44">
        <v>0.82</v>
      </c>
      <c r="I23" s="28">
        <f>I22*I24</f>
        <v>0.94303873082546896</v>
      </c>
      <c r="J23" s="28">
        <f t="shared" ref="J23:K23" si="22">J22*J24</f>
        <v>0.54999650055672789</v>
      </c>
      <c r="K23" s="28">
        <f t="shared" si="22"/>
        <v>-9.7524620604779056E-3</v>
      </c>
      <c r="L23" s="28">
        <f>L22*L24</f>
        <v>6.3547583172824744</v>
      </c>
      <c r="M23" s="18">
        <f>M22*M24</f>
        <v>14.739800762843036</v>
      </c>
    </row>
    <row r="24" spans="2:13" x14ac:dyDescent="0.25">
      <c r="B24" s="75"/>
      <c r="C24" s="63" t="s">
        <v>58</v>
      </c>
      <c r="D24" s="68">
        <f>D23/D22</f>
        <v>-5.6842105263158006E-2</v>
      </c>
      <c r="E24" s="68">
        <f t="shared" ref="E24:H24" si="23">E23/E22</f>
        <v>0.11997177134791796</v>
      </c>
      <c r="F24" s="68">
        <f t="shared" si="23"/>
        <v>-2.5181998676373274E-2</v>
      </c>
      <c r="G24" s="68">
        <f t="shared" si="23"/>
        <v>-4.8557496952458352E-3</v>
      </c>
      <c r="H24" s="69">
        <f t="shared" si="23"/>
        <v>-1.6482412060301516E-2</v>
      </c>
      <c r="I24" s="66">
        <f>AVERAGE(F24:H24,D24)</f>
        <v>-2.5840566423769661E-2</v>
      </c>
      <c r="J24" s="66">
        <f>I24</f>
        <v>-2.5840566423769661E-2</v>
      </c>
      <c r="K24" s="66">
        <f t="shared" ref="K24:M24" si="24">J24</f>
        <v>-2.5840566423769661E-2</v>
      </c>
      <c r="L24" s="66">
        <v>0.21</v>
      </c>
      <c r="M24" s="76">
        <f t="shared" si="24"/>
        <v>0.21</v>
      </c>
    </row>
    <row r="25" spans="2:13" ht="15.75" thickBot="1" x14ac:dyDescent="0.3">
      <c r="B25" s="79" t="s">
        <v>59</v>
      </c>
      <c r="C25" s="24"/>
      <c r="D25" s="80">
        <f>D22-D23</f>
        <v>-7.0279999999999871</v>
      </c>
      <c r="E25" s="80">
        <f t="shared" ref="E25:M25" si="25">E22-E23</f>
        <v>-12.47000000000002</v>
      </c>
      <c r="F25" s="80">
        <f t="shared" si="25"/>
        <v>-30.980999999999987</v>
      </c>
      <c r="G25" s="80">
        <f t="shared" si="25"/>
        <v>-49.458999999999996</v>
      </c>
      <c r="H25" s="82">
        <f t="shared" si="25"/>
        <v>-50.569999999999972</v>
      </c>
      <c r="I25" s="80">
        <f t="shared" si="25"/>
        <v>-37.437545676230776</v>
      </c>
      <c r="J25" s="80">
        <f t="shared" si="25"/>
        <v>-21.834224235240168</v>
      </c>
      <c r="K25" s="80">
        <f t="shared" si="25"/>
        <v>0.38716145149760656</v>
      </c>
      <c r="L25" s="80">
        <f t="shared" si="25"/>
        <v>23.905995574538835</v>
      </c>
      <c r="M25" s="81">
        <f t="shared" si="25"/>
        <v>55.449726679266661</v>
      </c>
    </row>
    <row r="26" spans="2:13" ht="15.75" thickBot="1" x14ac:dyDescent="0.3"/>
    <row r="27" spans="2:13" x14ac:dyDescent="0.25">
      <c r="B27" s="8" t="s">
        <v>7</v>
      </c>
      <c r="C27" s="9"/>
      <c r="D27" s="9" t="s">
        <v>32</v>
      </c>
      <c r="E27" s="9" t="s">
        <v>31</v>
      </c>
      <c r="F27" s="9" t="s">
        <v>8</v>
      </c>
      <c r="G27" s="9" t="s">
        <v>9</v>
      </c>
      <c r="H27" s="9" t="s">
        <v>10</v>
      </c>
      <c r="I27" s="10" t="s">
        <v>11</v>
      </c>
      <c r="J27" s="9" t="s">
        <v>12</v>
      </c>
      <c r="K27" s="9" t="s">
        <v>13</v>
      </c>
      <c r="L27" s="9" t="s">
        <v>14</v>
      </c>
      <c r="M27" s="11" t="s">
        <v>15</v>
      </c>
    </row>
    <row r="28" spans="2:13" x14ac:dyDescent="0.25">
      <c r="B28" s="12" t="s">
        <v>16</v>
      </c>
      <c r="C28" s="13"/>
      <c r="D28" s="48">
        <v>42369</v>
      </c>
      <c r="E28" s="32">
        <v>42735</v>
      </c>
      <c r="F28" s="13" t="s">
        <v>17</v>
      </c>
      <c r="G28" s="13" t="s">
        <v>18</v>
      </c>
      <c r="H28" s="13" t="s">
        <v>19</v>
      </c>
      <c r="I28" s="14" t="s">
        <v>20</v>
      </c>
      <c r="J28" s="13" t="s">
        <v>21</v>
      </c>
      <c r="K28" s="13" t="s">
        <v>22</v>
      </c>
      <c r="L28" s="13" t="s">
        <v>23</v>
      </c>
      <c r="M28" s="15" t="s">
        <v>24</v>
      </c>
    </row>
    <row r="29" spans="2:13" ht="15.75" thickBot="1" x14ac:dyDescent="0.3">
      <c r="B29" s="23" t="s">
        <v>61</v>
      </c>
      <c r="C29" s="24"/>
      <c r="D29" s="80">
        <f>D18</f>
        <v>-4.8499999999999872</v>
      </c>
      <c r="E29" s="80">
        <f t="shared" ref="E29:M29" si="26">E18</f>
        <v>-11.370000000000019</v>
      </c>
      <c r="F29" s="80">
        <f t="shared" si="26"/>
        <v>-31.819999999999993</v>
      </c>
      <c r="G29" s="80">
        <f t="shared" si="26"/>
        <v>-46.72</v>
      </c>
      <c r="H29" s="82">
        <f t="shared" si="26"/>
        <v>-50.46999999999997</v>
      </c>
      <c r="I29" s="80">
        <f t="shared" si="26"/>
        <v>-36.494506945405305</v>
      </c>
      <c r="J29" s="80">
        <f t="shared" si="26"/>
        <v>-21.284227734683441</v>
      </c>
      <c r="K29" s="80">
        <f t="shared" si="26"/>
        <v>0.37740898943712864</v>
      </c>
      <c r="L29" s="80">
        <f t="shared" si="26"/>
        <v>30.260753891821309</v>
      </c>
      <c r="M29" s="81">
        <f t="shared" si="26"/>
        <v>70.189527442109693</v>
      </c>
    </row>
  </sheetData>
  <pageMargins left="0.7" right="0.7" top="0.75" bottom="0.75" header="0.3" footer="0.3"/>
  <ignoredErrors>
    <ignoredError sqref="I16:M16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D3E8-256E-487B-A008-C9E31876C288}">
  <dimension ref="B2:R47"/>
  <sheetViews>
    <sheetView showGridLines="0" workbookViewId="0"/>
  </sheetViews>
  <sheetFormatPr defaultRowHeight="15" x14ac:dyDescent="0.25"/>
  <cols>
    <col min="1" max="1" width="9.140625" style="1"/>
    <col min="2" max="2" width="3.5703125" style="1" customWidth="1"/>
    <col min="3" max="3" width="31.7109375" style="1" customWidth="1"/>
    <col min="4" max="12" width="11.28515625" style="1" bestFit="1" customWidth="1"/>
    <col min="13" max="13" width="11.85546875" style="1" bestFit="1" customWidth="1"/>
    <col min="14" max="16384" width="9.140625" style="1"/>
  </cols>
  <sheetData>
    <row r="2" spans="2:18" x14ac:dyDescent="0.25">
      <c r="B2" s="2" t="s">
        <v>27</v>
      </c>
    </row>
    <row r="3" spans="2:18" ht="15.75" thickBot="1" x14ac:dyDescent="0.3">
      <c r="B3" s="24"/>
      <c r="C3" s="24" t="s">
        <v>6</v>
      </c>
      <c r="D3" s="24"/>
      <c r="E3" s="24"/>
      <c r="F3" s="24"/>
      <c r="G3" s="24"/>
      <c r="H3" s="24"/>
      <c r="I3" s="24"/>
      <c r="J3" s="24"/>
      <c r="K3" s="24"/>
    </row>
    <row r="4" spans="2:18" ht="15.75" thickBot="1" x14ac:dyDescent="0.3"/>
    <row r="5" spans="2:18" x14ac:dyDescent="0.25">
      <c r="B5" s="8" t="s">
        <v>7</v>
      </c>
      <c r="C5" s="9"/>
      <c r="D5" s="9" t="s">
        <v>32</v>
      </c>
      <c r="E5" s="9" t="s">
        <v>31</v>
      </c>
      <c r="F5" s="9" t="s">
        <v>8</v>
      </c>
      <c r="G5" s="9" t="s">
        <v>9</v>
      </c>
      <c r="H5" s="96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1" t="s">
        <v>15</v>
      </c>
    </row>
    <row r="6" spans="2:18" x14ac:dyDescent="0.25">
      <c r="B6" s="12" t="s">
        <v>16</v>
      </c>
      <c r="C6" s="13"/>
      <c r="D6" s="48">
        <v>42369</v>
      </c>
      <c r="E6" s="32">
        <v>42735</v>
      </c>
      <c r="F6" s="13" t="s">
        <v>17</v>
      </c>
      <c r="G6" s="13" t="s">
        <v>18</v>
      </c>
      <c r="H6" s="97" t="s">
        <v>19</v>
      </c>
      <c r="I6" s="13" t="s">
        <v>20</v>
      </c>
      <c r="J6" s="13" t="s">
        <v>21</v>
      </c>
      <c r="K6" s="13" t="s">
        <v>22</v>
      </c>
      <c r="L6" s="13" t="s">
        <v>23</v>
      </c>
      <c r="M6" s="15" t="s">
        <v>24</v>
      </c>
    </row>
    <row r="7" spans="2:18" x14ac:dyDescent="0.25">
      <c r="B7" s="16" t="s">
        <v>62</v>
      </c>
      <c r="C7" s="5"/>
      <c r="D7" s="5"/>
      <c r="E7" s="5"/>
      <c r="F7" s="5"/>
      <c r="G7" s="5"/>
      <c r="H7" s="6"/>
      <c r="I7" s="5"/>
      <c r="J7" s="5"/>
      <c r="K7" s="5"/>
      <c r="L7" s="5"/>
      <c r="M7" s="22"/>
    </row>
    <row r="8" spans="2:18" x14ac:dyDescent="0.25">
      <c r="B8" s="16"/>
      <c r="C8" s="5"/>
      <c r="D8" s="5"/>
      <c r="E8" s="5"/>
      <c r="F8" s="5"/>
      <c r="G8" s="5"/>
      <c r="H8" s="6"/>
      <c r="I8" s="5"/>
      <c r="J8" s="5"/>
      <c r="K8" s="5"/>
      <c r="L8" s="5"/>
      <c r="M8" s="22"/>
      <c r="R8" s="28"/>
    </row>
    <row r="9" spans="2:18" x14ac:dyDescent="0.25">
      <c r="B9" s="16"/>
      <c r="C9" s="5" t="s">
        <v>63</v>
      </c>
      <c r="D9" s="27">
        <v>31.393000000000001</v>
      </c>
      <c r="E9" s="27">
        <v>31.143000000000001</v>
      </c>
      <c r="F9" s="27">
        <v>73.757999999999996</v>
      </c>
      <c r="G9" s="27">
        <v>94.93</v>
      </c>
      <c r="H9" s="44">
        <v>159.755</v>
      </c>
      <c r="I9" s="5"/>
      <c r="J9" s="5"/>
      <c r="K9" s="5"/>
      <c r="L9" s="5"/>
      <c r="M9" s="22"/>
    </row>
    <row r="10" spans="2:18" x14ac:dyDescent="0.25">
      <c r="B10" s="16"/>
      <c r="C10" s="5" t="s">
        <v>64</v>
      </c>
      <c r="D10" s="27">
        <v>34.228000000000002</v>
      </c>
      <c r="E10" s="27">
        <v>46.814</v>
      </c>
      <c r="F10" s="27">
        <v>55.314999999999998</v>
      </c>
      <c r="G10" s="27">
        <v>93.783000000000001</v>
      </c>
      <c r="H10" s="44">
        <v>93.207999999999998</v>
      </c>
      <c r="I10" s="87">
        <f>AVERAGE(D10:H10)</f>
        <v>64.669599999999988</v>
      </c>
      <c r="J10" s="87">
        <f t="shared" ref="J10:M10" si="0">I10</f>
        <v>64.669599999999988</v>
      </c>
      <c r="K10" s="87">
        <f t="shared" si="0"/>
        <v>64.669599999999988</v>
      </c>
      <c r="L10" s="87">
        <f t="shared" si="0"/>
        <v>64.669599999999988</v>
      </c>
      <c r="M10" s="91">
        <f t="shared" si="0"/>
        <v>64.669599999999988</v>
      </c>
    </row>
    <row r="11" spans="2:18" x14ac:dyDescent="0.25">
      <c r="B11" s="16"/>
      <c r="C11" s="5" t="s">
        <v>65</v>
      </c>
      <c r="D11" s="27">
        <v>7.3460000000000001</v>
      </c>
      <c r="E11" s="27">
        <v>10.427</v>
      </c>
      <c r="F11" s="27">
        <v>16.149000000000001</v>
      </c>
      <c r="G11" s="27">
        <v>20.913</v>
      </c>
      <c r="H11" s="44">
        <v>24.698</v>
      </c>
      <c r="I11" s="87">
        <f>I12*IS!I7</f>
        <v>29.066245835189076</v>
      </c>
      <c r="J11" s="87">
        <f>J12*IS!J7</f>
        <v>34.159550619027421</v>
      </c>
      <c r="K11" s="87">
        <f>K12*IS!K7</f>
        <v>40.160216151927969</v>
      </c>
      <c r="L11" s="87">
        <f>L12*IS!L7</f>
        <v>47.144093454966942</v>
      </c>
      <c r="M11" s="91">
        <f>M12*IS!M7</f>
        <v>55.078329961275962</v>
      </c>
    </row>
    <row r="12" spans="2:18" x14ac:dyDescent="0.25">
      <c r="B12" s="16"/>
      <c r="C12" s="5" t="s">
        <v>66</v>
      </c>
      <c r="D12" s="85">
        <f>D11/IS!D7</f>
        <v>6.6061151079136696E-2</v>
      </c>
      <c r="E12" s="85">
        <f>E11/IS!E7</f>
        <v>7.8445681613000307E-2</v>
      </c>
      <c r="F12" s="85">
        <f>F11/IS!F7</f>
        <v>9.1371506167251329E-2</v>
      </c>
      <c r="G12" s="85">
        <f>G11/IS!G7</f>
        <v>9.2233395078062982E-2</v>
      </c>
      <c r="H12" s="98">
        <f>H11/IS!H7</f>
        <v>9.4864605338966762E-2</v>
      </c>
      <c r="I12" s="42">
        <v>9.4864605338966762E-2</v>
      </c>
      <c r="J12" s="42">
        <f>I12</f>
        <v>9.4864605338966762E-2</v>
      </c>
      <c r="K12" s="42">
        <f t="shared" ref="K12:M12" si="1">J12</f>
        <v>9.4864605338966762E-2</v>
      </c>
      <c r="L12" s="42">
        <f t="shared" si="1"/>
        <v>9.4864605338966762E-2</v>
      </c>
      <c r="M12" s="46">
        <f t="shared" si="1"/>
        <v>9.4864605338966762E-2</v>
      </c>
    </row>
    <row r="13" spans="2:18" x14ac:dyDescent="0.25">
      <c r="B13" s="70" t="s">
        <v>67</v>
      </c>
      <c r="C13" s="51"/>
      <c r="D13" s="88">
        <f>D9+D10+D11</f>
        <v>72.967000000000013</v>
      </c>
      <c r="E13" s="88">
        <f t="shared" ref="E13:M13" si="2">E9+E10+E11</f>
        <v>88.383999999999986</v>
      </c>
      <c r="F13" s="88">
        <f t="shared" si="2"/>
        <v>145.22199999999998</v>
      </c>
      <c r="G13" s="88">
        <f t="shared" si="2"/>
        <v>209.62600000000003</v>
      </c>
      <c r="H13" s="99">
        <f t="shared" si="2"/>
        <v>277.661</v>
      </c>
      <c r="I13" s="88">
        <f t="shared" si="2"/>
        <v>93.735845835189068</v>
      </c>
      <c r="J13" s="88">
        <f t="shared" si="2"/>
        <v>98.829150619027416</v>
      </c>
      <c r="K13" s="88">
        <f t="shared" si="2"/>
        <v>104.82981615192796</v>
      </c>
      <c r="L13" s="88">
        <f t="shared" si="2"/>
        <v>111.81369345496694</v>
      </c>
      <c r="M13" s="92">
        <f t="shared" si="2"/>
        <v>119.74792996127596</v>
      </c>
    </row>
    <row r="14" spans="2:18" x14ac:dyDescent="0.25">
      <c r="B14" s="16"/>
      <c r="C14" s="5"/>
      <c r="D14" s="5"/>
      <c r="E14" s="5"/>
      <c r="F14" s="5"/>
      <c r="G14" s="5"/>
      <c r="H14" s="6"/>
      <c r="I14" s="5"/>
      <c r="J14" s="5"/>
      <c r="K14" s="5"/>
      <c r="L14" s="5"/>
      <c r="M14" s="22"/>
    </row>
    <row r="15" spans="2:18" x14ac:dyDescent="0.25">
      <c r="B15" s="16"/>
      <c r="C15" s="5" t="s">
        <v>68</v>
      </c>
      <c r="D15" s="27">
        <v>2.8919999999999999</v>
      </c>
      <c r="E15" s="27">
        <v>3.101</v>
      </c>
      <c r="F15" s="27">
        <v>2.6629999999999998</v>
      </c>
      <c r="G15" s="27">
        <v>7.5389999999999997</v>
      </c>
      <c r="H15" s="44">
        <v>63.759</v>
      </c>
      <c r="I15" s="5"/>
      <c r="J15" s="5"/>
      <c r="K15" s="5"/>
      <c r="L15" s="5"/>
      <c r="M15" s="22"/>
    </row>
    <row r="16" spans="2:18" x14ac:dyDescent="0.25">
      <c r="B16" s="16"/>
      <c r="C16" s="5" t="s">
        <v>144</v>
      </c>
      <c r="D16" s="27">
        <v>-0.5</v>
      </c>
      <c r="E16" s="27">
        <v>-1</v>
      </c>
      <c r="F16" s="27">
        <v>-0.4</v>
      </c>
      <c r="G16" s="27">
        <v>-7</v>
      </c>
      <c r="H16" s="44">
        <v>-32.4</v>
      </c>
      <c r="I16" s="103">
        <f>I17*IS!I7</f>
        <v>-9.4983120171242934</v>
      </c>
      <c r="J16" s="103">
        <f>J17*IS!J7</f>
        <v>-11.162709900136752</v>
      </c>
      <c r="K16" s="103">
        <f>K17*IS!K7</f>
        <v>-13.123616508615592</v>
      </c>
      <c r="L16" s="103">
        <f>L17*IS!L7</f>
        <v>-15.405818554580128</v>
      </c>
      <c r="M16" s="104">
        <f>M17*IS!M7</f>
        <v>-17.998580426267882</v>
      </c>
    </row>
    <row r="17" spans="2:13" x14ac:dyDescent="0.25">
      <c r="B17" s="16"/>
      <c r="C17" s="5" t="s">
        <v>66</v>
      </c>
      <c r="D17" s="105">
        <f>D16/IS!D7</f>
        <v>-4.4964028776978415E-3</v>
      </c>
      <c r="E17" s="105">
        <f>E16/IS!E7</f>
        <v>-7.5233222991272957E-3</v>
      </c>
      <c r="F17" s="105">
        <f>F16/IS!F7</f>
        <v>-2.2632114971144054E-3</v>
      </c>
      <c r="G17" s="105">
        <f>G16/IS!G7</f>
        <v>-3.087236482314545E-2</v>
      </c>
      <c r="H17" s="106">
        <f>H16/IS!H7</f>
        <v>-0.12444785865181485</v>
      </c>
      <c r="I17" s="42">
        <v>-3.1E-2</v>
      </c>
      <c r="J17" s="42">
        <f>I17</f>
        <v>-3.1E-2</v>
      </c>
      <c r="K17" s="42">
        <f t="shared" ref="K17:M17" si="3">J17</f>
        <v>-3.1E-2</v>
      </c>
      <c r="L17" s="42">
        <f t="shared" si="3"/>
        <v>-3.1E-2</v>
      </c>
      <c r="M17" s="46">
        <f t="shared" si="3"/>
        <v>-3.1E-2</v>
      </c>
    </row>
    <row r="18" spans="2:13" x14ac:dyDescent="0.25">
      <c r="B18" s="16"/>
      <c r="C18" s="5" t="s">
        <v>69</v>
      </c>
      <c r="D18" s="27">
        <v>0</v>
      </c>
      <c r="E18" s="27">
        <v>0</v>
      </c>
      <c r="F18" s="27">
        <v>0</v>
      </c>
      <c r="G18" s="27">
        <v>0</v>
      </c>
      <c r="H18" s="44">
        <v>0</v>
      </c>
      <c r="I18" s="27">
        <v>4.4000000000000004</v>
      </c>
      <c r="J18" s="27">
        <v>4.4000000000000004</v>
      </c>
      <c r="K18" s="27">
        <v>4.4000000000000004</v>
      </c>
      <c r="L18" s="27">
        <v>4.4000000000000004</v>
      </c>
      <c r="M18" s="47">
        <v>4.4000000000000004</v>
      </c>
    </row>
    <row r="19" spans="2:13" x14ac:dyDescent="0.25">
      <c r="B19" s="16"/>
      <c r="C19" s="5" t="s">
        <v>70</v>
      </c>
      <c r="D19" s="27">
        <v>0</v>
      </c>
      <c r="E19" s="27">
        <v>0</v>
      </c>
      <c r="F19" s="27">
        <v>0</v>
      </c>
      <c r="G19" s="27">
        <v>0</v>
      </c>
      <c r="H19" s="44">
        <v>0</v>
      </c>
      <c r="I19" s="27">
        <v>1.8</v>
      </c>
      <c r="J19" s="27">
        <v>1.8</v>
      </c>
      <c r="K19" s="27">
        <v>1.8</v>
      </c>
      <c r="L19" s="27">
        <v>1.8</v>
      </c>
      <c r="M19" s="47">
        <v>1.8</v>
      </c>
    </row>
    <row r="20" spans="2:13" x14ac:dyDescent="0.25">
      <c r="B20" s="16"/>
      <c r="C20" s="5" t="s">
        <v>71</v>
      </c>
      <c r="D20" s="27">
        <v>2.1999999999999999E-2</v>
      </c>
      <c r="E20" s="27">
        <v>1.2E-2</v>
      </c>
      <c r="F20" s="27">
        <v>0.28100000000000003</v>
      </c>
      <c r="G20" s="27">
        <v>0.32600000000000001</v>
      </c>
      <c r="H20" s="44">
        <v>0.49399999999999999</v>
      </c>
      <c r="I20" s="5"/>
      <c r="J20" s="5"/>
      <c r="K20" s="5"/>
      <c r="L20" s="5"/>
      <c r="M20" s="22"/>
    </row>
    <row r="21" spans="2:13" x14ac:dyDescent="0.25">
      <c r="B21" s="16"/>
      <c r="C21" s="5" t="s">
        <v>72</v>
      </c>
      <c r="D21" s="27">
        <v>7.3540000000000001</v>
      </c>
      <c r="E21" s="27">
        <v>10.86</v>
      </c>
      <c r="F21" s="27">
        <v>12.375999999999999</v>
      </c>
      <c r="G21" s="27">
        <v>15.087999999999999</v>
      </c>
      <c r="H21" s="44">
        <v>28.978999999999999</v>
      </c>
      <c r="I21" s="5"/>
      <c r="J21" s="5"/>
      <c r="K21" s="5"/>
      <c r="L21" s="5"/>
      <c r="M21" s="22"/>
    </row>
    <row r="22" spans="2:13" x14ac:dyDescent="0.25">
      <c r="B22" s="75"/>
      <c r="C22" s="7" t="s">
        <v>73</v>
      </c>
      <c r="D22" s="83">
        <v>0.16500000000000001</v>
      </c>
      <c r="E22" s="83">
        <v>0.38100000000000001</v>
      </c>
      <c r="F22" s="83">
        <v>0.51</v>
      </c>
      <c r="G22" s="83">
        <v>0.60099999999999998</v>
      </c>
      <c r="H22" s="84">
        <v>0.59199999999999997</v>
      </c>
      <c r="I22" s="7"/>
      <c r="J22" s="7"/>
      <c r="K22" s="7"/>
      <c r="L22" s="7"/>
      <c r="M22" s="93"/>
    </row>
    <row r="23" spans="2:13" x14ac:dyDescent="0.25">
      <c r="B23" s="78" t="s">
        <v>74</v>
      </c>
      <c r="C23" s="5"/>
      <c r="D23" s="86">
        <f>SUM(D13,D15:D22)</f>
        <v>82.895503597122328</v>
      </c>
      <c r="E23" s="86">
        <f t="shared" ref="E23:M23" si="4">SUM(E13,E15:E22)</f>
        <v>101.73047667770086</v>
      </c>
      <c r="F23" s="86">
        <f t="shared" si="4"/>
        <v>160.64973678850288</v>
      </c>
      <c r="G23" s="86">
        <f t="shared" si="4"/>
        <v>226.14912763517685</v>
      </c>
      <c r="H23" s="100">
        <f t="shared" si="4"/>
        <v>338.96055214134822</v>
      </c>
      <c r="I23" s="86">
        <f t="shared" si="4"/>
        <v>90.406533818064773</v>
      </c>
      <c r="J23" s="86">
        <f t="shared" si="4"/>
        <v>93.835440718890666</v>
      </c>
      <c r="K23" s="86">
        <f t="shared" si="4"/>
        <v>97.875199643312357</v>
      </c>
      <c r="L23" s="86">
        <f t="shared" si="4"/>
        <v>102.57687490038681</v>
      </c>
      <c r="M23" s="94">
        <f t="shared" si="4"/>
        <v>107.91834953500808</v>
      </c>
    </row>
    <row r="24" spans="2:13" x14ac:dyDescent="0.25">
      <c r="B24" s="16"/>
      <c r="C24" s="5"/>
      <c r="D24" s="5"/>
      <c r="E24" s="5"/>
      <c r="F24" s="5"/>
      <c r="G24" s="5"/>
      <c r="H24" s="6"/>
      <c r="I24" s="5"/>
      <c r="J24" s="5"/>
      <c r="K24" s="5"/>
      <c r="L24" s="5"/>
      <c r="M24" s="22"/>
    </row>
    <row r="25" spans="2:13" x14ac:dyDescent="0.25">
      <c r="B25" s="16" t="s">
        <v>75</v>
      </c>
      <c r="C25" s="5"/>
      <c r="D25" s="5"/>
      <c r="E25" s="5"/>
      <c r="F25" s="5"/>
      <c r="G25" s="5"/>
      <c r="H25" s="6"/>
      <c r="I25" s="5"/>
      <c r="J25" s="5"/>
      <c r="K25" s="5"/>
      <c r="L25" s="5"/>
      <c r="M25" s="22"/>
    </row>
    <row r="26" spans="2:13" x14ac:dyDescent="0.25">
      <c r="B26" s="16"/>
      <c r="C26" s="5"/>
      <c r="D26" s="5"/>
      <c r="E26" s="5"/>
      <c r="F26" s="5"/>
      <c r="G26" s="5"/>
      <c r="H26" s="6"/>
      <c r="I26" s="5"/>
      <c r="J26" s="5"/>
      <c r="K26" s="5"/>
      <c r="L26" s="5"/>
      <c r="M26" s="22"/>
    </row>
    <row r="27" spans="2:13" x14ac:dyDescent="0.25">
      <c r="B27" s="16"/>
      <c r="C27" s="5" t="s">
        <v>76</v>
      </c>
      <c r="D27" s="27">
        <v>2.633</v>
      </c>
      <c r="E27" s="27">
        <v>5.0570000000000004</v>
      </c>
      <c r="F27" s="27">
        <v>5.226</v>
      </c>
      <c r="G27" s="27">
        <v>9.2490000000000006</v>
      </c>
      <c r="H27" s="44">
        <v>5.2220000000000004</v>
      </c>
      <c r="I27" s="87">
        <v>3.13</v>
      </c>
      <c r="J27" s="87">
        <v>5.42</v>
      </c>
      <c r="K27" s="87">
        <v>7.92</v>
      </c>
      <c r="L27" s="87">
        <v>10.42</v>
      </c>
      <c r="M27" s="91">
        <v>12.66</v>
      </c>
    </row>
    <row r="28" spans="2:13" x14ac:dyDescent="0.25">
      <c r="B28" s="16"/>
      <c r="C28" s="5" t="s">
        <v>77</v>
      </c>
      <c r="D28" s="27">
        <v>10.087</v>
      </c>
      <c r="E28" s="27">
        <v>12.414</v>
      </c>
      <c r="F28" s="27">
        <v>18.542000000000002</v>
      </c>
      <c r="G28" s="27">
        <v>21.26</v>
      </c>
      <c r="H28" s="44">
        <v>17.757000000000001</v>
      </c>
      <c r="I28" s="87">
        <f>I29*IS!I14</f>
        <v>19.592413010523988</v>
      </c>
      <c r="J28" s="87">
        <f>J29*IS!J14</f>
        <v>21.815715704376078</v>
      </c>
      <c r="K28" s="87">
        <f>K29*IS!K14</f>
        <v>24.225560639890116</v>
      </c>
      <c r="L28" s="87">
        <f>L29*IS!L14</f>
        <v>26.768603167782086</v>
      </c>
      <c r="M28" s="91">
        <f>M29*IS!M14</f>
        <v>29.322880233102641</v>
      </c>
    </row>
    <row r="29" spans="2:13" x14ac:dyDescent="0.25">
      <c r="B29" s="16"/>
      <c r="C29" s="5" t="s">
        <v>80</v>
      </c>
      <c r="D29" s="85">
        <f>D28/IS!D14</f>
        <v>0.19848484848484849</v>
      </c>
      <c r="E29" s="85">
        <f>E28/IS!E14</f>
        <v>0.17440292216914863</v>
      </c>
      <c r="F29" s="85">
        <f>F28/IS!F14</f>
        <v>0.16992302052785924</v>
      </c>
      <c r="G29" s="85">
        <f>G28/IS!G14</f>
        <v>0.14783394756971005</v>
      </c>
      <c r="H29" s="98">
        <f>H28/IS!H14</f>
        <v>0.11172140430351077</v>
      </c>
      <c r="I29" s="42">
        <v>0.112</v>
      </c>
      <c r="J29" s="42">
        <f>I29</f>
        <v>0.112</v>
      </c>
      <c r="K29" s="42">
        <f t="shared" ref="K29:M29" si="5">J29</f>
        <v>0.112</v>
      </c>
      <c r="L29" s="42">
        <f t="shared" si="5"/>
        <v>0.112</v>
      </c>
      <c r="M29" s="46">
        <f t="shared" si="5"/>
        <v>0.112</v>
      </c>
    </row>
    <row r="30" spans="2:13" x14ac:dyDescent="0.25">
      <c r="B30" s="16"/>
      <c r="C30" s="5" t="s">
        <v>78</v>
      </c>
      <c r="D30" s="27">
        <v>40.22</v>
      </c>
      <c r="E30" s="27">
        <v>52</v>
      </c>
      <c r="F30" s="27">
        <v>70.165000000000006</v>
      </c>
      <c r="G30" s="27">
        <v>95.522999999999996</v>
      </c>
      <c r="H30" s="44">
        <v>82.200999999999993</v>
      </c>
      <c r="I30" s="89">
        <f>AVERAGE(D30:H30)</f>
        <v>68.021800000000013</v>
      </c>
      <c r="J30" s="89">
        <f>I30</f>
        <v>68.021800000000013</v>
      </c>
      <c r="K30" s="89">
        <f t="shared" ref="K30:M30" si="6">J30</f>
        <v>68.021800000000013</v>
      </c>
      <c r="L30" s="89">
        <f t="shared" si="6"/>
        <v>68.021800000000013</v>
      </c>
      <c r="M30" s="95">
        <f t="shared" si="6"/>
        <v>68.021800000000013</v>
      </c>
    </row>
    <row r="31" spans="2:13" x14ac:dyDescent="0.25">
      <c r="B31" s="16"/>
      <c r="C31" s="5" t="s">
        <v>79</v>
      </c>
      <c r="D31" s="27">
        <v>0.56399999999999995</v>
      </c>
      <c r="E31" s="27">
        <v>0.437</v>
      </c>
      <c r="F31" s="27">
        <v>1.1819999999999999</v>
      </c>
      <c r="G31" s="27">
        <v>2.3690000000000002</v>
      </c>
      <c r="H31" s="44">
        <v>1.8169999999999999</v>
      </c>
      <c r="I31" s="87">
        <f>I32*IS!I14</f>
        <v>1.9242548492478915</v>
      </c>
      <c r="J31" s="87">
        <f>J32*IS!J14</f>
        <v>2.1426149352512218</v>
      </c>
      <c r="K31" s="87">
        <f>K32*IS!K14</f>
        <v>2.3792961342749219</v>
      </c>
      <c r="L31" s="87">
        <f>L32*IS!L14</f>
        <v>2.6290592396928831</v>
      </c>
      <c r="M31" s="91">
        <f>M32*IS!M14</f>
        <v>2.8799257371797236</v>
      </c>
    </row>
    <row r="32" spans="2:13" x14ac:dyDescent="0.25">
      <c r="B32" s="75"/>
      <c r="C32" s="7" t="s">
        <v>80</v>
      </c>
      <c r="D32" s="90">
        <f>D31/IS!D14</f>
        <v>1.1097992916174733E-2</v>
      </c>
      <c r="E32" s="90">
        <f>E31/IS!E14</f>
        <v>6.1393649901657762E-3</v>
      </c>
      <c r="F32" s="90">
        <f>F31/IS!F14</f>
        <v>1.0832111436950146E-2</v>
      </c>
      <c r="G32" s="90">
        <f>G31/IS!G14</f>
        <v>1.6473124261177946E-2</v>
      </c>
      <c r="H32" s="101">
        <f>H31/IS!H14</f>
        <v>1.1431986913300616E-2</v>
      </c>
      <c r="I32" s="66">
        <v>1.0999999999999999E-2</v>
      </c>
      <c r="J32" s="66">
        <f>I32</f>
        <v>1.0999999999999999E-2</v>
      </c>
      <c r="K32" s="66">
        <f t="shared" ref="K32:M32" si="7">J32</f>
        <v>1.0999999999999999E-2</v>
      </c>
      <c r="L32" s="66">
        <f t="shared" si="7"/>
        <v>1.0999999999999999E-2</v>
      </c>
      <c r="M32" s="76">
        <f t="shared" si="7"/>
        <v>1.0999999999999999E-2</v>
      </c>
    </row>
    <row r="33" spans="2:13" x14ac:dyDescent="0.25">
      <c r="B33" s="78" t="s">
        <v>81</v>
      </c>
      <c r="C33" s="5"/>
      <c r="D33" s="28">
        <f>D27+D28+D30+D31</f>
        <v>53.503999999999998</v>
      </c>
      <c r="E33" s="28">
        <f t="shared" ref="E33:M33" si="8">E27+E28+E30+E31</f>
        <v>69.908000000000001</v>
      </c>
      <c r="F33" s="28">
        <f t="shared" si="8"/>
        <v>95.115000000000009</v>
      </c>
      <c r="G33" s="28">
        <f t="shared" si="8"/>
        <v>128.40100000000001</v>
      </c>
      <c r="H33" s="60">
        <f t="shared" si="8"/>
        <v>106.99699999999999</v>
      </c>
      <c r="I33" s="28">
        <f t="shared" si="8"/>
        <v>92.66846785977188</v>
      </c>
      <c r="J33" s="28">
        <f t="shared" si="8"/>
        <v>97.400130639627307</v>
      </c>
      <c r="K33" s="28">
        <f t="shared" si="8"/>
        <v>102.54665677416504</v>
      </c>
      <c r="L33" s="28">
        <f t="shared" si="8"/>
        <v>107.83946240747497</v>
      </c>
      <c r="M33" s="18">
        <f t="shared" si="8"/>
        <v>112.88460597028237</v>
      </c>
    </row>
    <row r="34" spans="2:13" x14ac:dyDescent="0.25">
      <c r="B34" s="16"/>
      <c r="C34" s="5"/>
      <c r="D34" s="5"/>
      <c r="E34" s="5"/>
      <c r="F34" s="5"/>
      <c r="G34" s="5"/>
      <c r="H34" s="6"/>
      <c r="I34" s="5"/>
      <c r="J34" s="5"/>
      <c r="K34" s="5"/>
      <c r="L34" s="5"/>
      <c r="M34" s="22"/>
    </row>
    <row r="35" spans="2:13" x14ac:dyDescent="0.25">
      <c r="B35" s="16"/>
      <c r="C35" s="5" t="s">
        <v>82</v>
      </c>
      <c r="D35" s="27">
        <v>10</v>
      </c>
      <c r="E35" s="27">
        <v>13.888999999999999</v>
      </c>
      <c r="F35" s="27">
        <v>0</v>
      </c>
      <c r="G35" s="27">
        <v>0</v>
      </c>
      <c r="H35" s="44">
        <v>0</v>
      </c>
      <c r="I35" s="27">
        <v>0</v>
      </c>
      <c r="J35" s="27">
        <v>0</v>
      </c>
      <c r="K35" s="27">
        <v>0</v>
      </c>
      <c r="L35" s="27">
        <v>0</v>
      </c>
      <c r="M35" s="47">
        <v>0</v>
      </c>
    </row>
    <row r="36" spans="2:13" x14ac:dyDescent="0.25">
      <c r="B36" s="16"/>
      <c r="C36" s="5" t="s">
        <v>83</v>
      </c>
      <c r="D36" s="27">
        <v>12.89</v>
      </c>
      <c r="E36" s="27">
        <v>18.108000000000001</v>
      </c>
      <c r="F36" s="27">
        <v>18.922000000000001</v>
      </c>
      <c r="G36" s="27">
        <v>16.145</v>
      </c>
      <c r="H36" s="44">
        <v>7.1390000000000002</v>
      </c>
      <c r="I36" s="27">
        <v>7.1390000000000002</v>
      </c>
      <c r="J36" s="27">
        <v>7.1390000000000002</v>
      </c>
      <c r="K36" s="27">
        <v>7.1390000000000002</v>
      </c>
      <c r="L36" s="27">
        <v>7.1390000000000002</v>
      </c>
      <c r="M36" s="47">
        <v>7.1390000000000002</v>
      </c>
    </row>
    <row r="37" spans="2:13" x14ac:dyDescent="0.25">
      <c r="B37" s="16"/>
      <c r="C37" s="5" t="s">
        <v>84</v>
      </c>
      <c r="D37" s="27">
        <v>0.91600000000000004</v>
      </c>
      <c r="E37" s="27">
        <v>3.2000000000000001E-2</v>
      </c>
      <c r="F37" s="27">
        <v>8.6999999999999994E-2</v>
      </c>
      <c r="G37" s="27">
        <v>4.2000000000000003E-2</v>
      </c>
      <c r="H37" s="44">
        <v>3.7999999999999999E-2</v>
      </c>
      <c r="I37" s="27">
        <v>3.7999999999999999E-2</v>
      </c>
      <c r="J37" s="27">
        <v>3.7999999999999999E-2</v>
      </c>
      <c r="K37" s="27">
        <v>3.7999999999999999E-2</v>
      </c>
      <c r="L37" s="27">
        <v>3.7999999999999999E-2</v>
      </c>
      <c r="M37" s="47">
        <v>3.7999999999999999E-2</v>
      </c>
    </row>
    <row r="38" spans="2:13" x14ac:dyDescent="0.25">
      <c r="B38" s="16"/>
      <c r="C38" s="5" t="s">
        <v>85</v>
      </c>
      <c r="D38" s="27">
        <v>1.415</v>
      </c>
      <c r="E38" s="27">
        <v>1.917</v>
      </c>
      <c r="F38" s="27">
        <v>1.4039999999999999</v>
      </c>
      <c r="G38" s="27">
        <v>15.4</v>
      </c>
      <c r="H38" s="44">
        <v>0</v>
      </c>
      <c r="I38" s="27">
        <v>0</v>
      </c>
      <c r="J38" s="27">
        <v>0</v>
      </c>
      <c r="K38" s="27">
        <v>0</v>
      </c>
      <c r="L38" s="27">
        <v>0</v>
      </c>
      <c r="M38" s="47">
        <v>0</v>
      </c>
    </row>
    <row r="39" spans="2:13" x14ac:dyDescent="0.25">
      <c r="B39" s="70" t="s">
        <v>86</v>
      </c>
      <c r="C39" s="3"/>
      <c r="D39" s="61">
        <f>D33+D35+D36+D37+D38</f>
        <v>78.725000000000009</v>
      </c>
      <c r="E39" s="61">
        <f t="shared" ref="E39:M39" si="9">E33+E35+E36+E37+E38</f>
        <v>103.854</v>
      </c>
      <c r="F39" s="61">
        <f t="shared" si="9"/>
        <v>115.52800000000001</v>
      </c>
      <c r="G39" s="61">
        <f t="shared" si="9"/>
        <v>159.98800000000003</v>
      </c>
      <c r="H39" s="62">
        <f t="shared" si="9"/>
        <v>114.17399999999998</v>
      </c>
      <c r="I39" s="61">
        <f t="shared" si="9"/>
        <v>99.845467859771873</v>
      </c>
      <c r="J39" s="61">
        <f t="shared" si="9"/>
        <v>104.5771306396273</v>
      </c>
      <c r="K39" s="61">
        <f t="shared" si="9"/>
        <v>109.72365677416504</v>
      </c>
      <c r="L39" s="61">
        <f t="shared" si="9"/>
        <v>115.01646240747496</v>
      </c>
      <c r="M39" s="73">
        <f t="shared" si="9"/>
        <v>120.06160597028236</v>
      </c>
    </row>
    <row r="40" spans="2:13" x14ac:dyDescent="0.25">
      <c r="B40" s="16"/>
      <c r="C40" s="5"/>
      <c r="D40" s="5"/>
      <c r="E40" s="5"/>
      <c r="F40" s="5"/>
      <c r="G40" s="5"/>
      <c r="H40" s="6"/>
      <c r="I40" s="5"/>
      <c r="J40" s="5"/>
      <c r="K40" s="5"/>
      <c r="L40" s="5"/>
      <c r="M40" s="22"/>
    </row>
    <row r="41" spans="2:13" x14ac:dyDescent="0.25">
      <c r="B41" s="75" t="s">
        <v>87</v>
      </c>
      <c r="C41" s="7"/>
      <c r="D41" s="83">
        <v>4.6749999999999998</v>
      </c>
      <c r="E41" s="83">
        <v>-1.1100000000000001</v>
      </c>
      <c r="F41" s="83">
        <v>45.524000000000001</v>
      </c>
      <c r="G41" s="83">
        <v>73.191999999999993</v>
      </c>
      <c r="H41" s="84">
        <v>257.32</v>
      </c>
      <c r="I41" s="7"/>
      <c r="J41" s="7"/>
      <c r="K41" s="7"/>
      <c r="L41" s="7"/>
      <c r="M41" s="93"/>
    </row>
    <row r="42" spans="2:13" x14ac:dyDescent="0.25">
      <c r="B42" s="78" t="s">
        <v>88</v>
      </c>
      <c r="C42" s="5"/>
      <c r="D42" s="27">
        <v>4.6749999999999998</v>
      </c>
      <c r="E42" s="27">
        <v>-1.1100000000000001</v>
      </c>
      <c r="F42" s="27">
        <v>45.524000000000001</v>
      </c>
      <c r="G42" s="27">
        <v>73.191999999999993</v>
      </c>
      <c r="H42" s="44">
        <v>257.32</v>
      </c>
      <c r="I42" s="5"/>
      <c r="J42" s="5"/>
      <c r="K42" s="5"/>
      <c r="L42" s="5"/>
      <c r="M42" s="22"/>
    </row>
    <row r="43" spans="2:13" x14ac:dyDescent="0.25">
      <c r="B43" s="16"/>
      <c r="C43" s="5"/>
      <c r="D43" s="5"/>
      <c r="E43" s="5"/>
      <c r="F43" s="5"/>
      <c r="G43" s="5"/>
      <c r="H43" s="6"/>
      <c r="I43" s="5"/>
      <c r="J43" s="5"/>
      <c r="K43" s="5"/>
      <c r="L43" s="5"/>
      <c r="M43" s="22"/>
    </row>
    <row r="44" spans="2:13" ht="15.75" thickBot="1" x14ac:dyDescent="0.3">
      <c r="B44" s="79" t="s">
        <v>89</v>
      </c>
      <c r="C44" s="24"/>
      <c r="D44" s="80">
        <f>D42+D39</f>
        <v>83.4</v>
      </c>
      <c r="E44" s="80">
        <f t="shared" ref="E44:G44" si="10">E42+E39</f>
        <v>102.744</v>
      </c>
      <c r="F44" s="80">
        <f t="shared" si="10"/>
        <v>161.05200000000002</v>
      </c>
      <c r="G44" s="80">
        <f t="shared" si="10"/>
        <v>233.18</v>
      </c>
      <c r="H44" s="102">
        <f>H42+H39</f>
        <v>371.49399999999997</v>
      </c>
      <c r="I44" s="80">
        <f t="shared" ref="I44:M44" si="11">I42+I39</f>
        <v>99.845467859771873</v>
      </c>
      <c r="J44" s="80">
        <f t="shared" si="11"/>
        <v>104.5771306396273</v>
      </c>
      <c r="K44" s="80">
        <f t="shared" si="11"/>
        <v>109.72365677416504</v>
      </c>
      <c r="L44" s="80">
        <f t="shared" si="11"/>
        <v>115.01646240747496</v>
      </c>
      <c r="M44" s="81">
        <f t="shared" si="11"/>
        <v>120.06160597028236</v>
      </c>
    </row>
    <row r="45" spans="2:13" ht="15.75" thickBot="1" x14ac:dyDescent="0.3"/>
    <row r="46" spans="2:13" x14ac:dyDescent="0.25">
      <c r="B46" s="159" t="s">
        <v>90</v>
      </c>
      <c r="C46" s="160"/>
      <c r="D46" s="160"/>
      <c r="E46" s="160"/>
      <c r="F46" s="160"/>
      <c r="G46" s="160"/>
      <c r="H46" s="160"/>
      <c r="I46" s="161"/>
      <c r="J46" s="160"/>
      <c r="K46" s="160"/>
      <c r="L46" s="160"/>
      <c r="M46" s="162"/>
    </row>
    <row r="47" spans="2:13" ht="15.75" thickBot="1" x14ac:dyDescent="0.3">
      <c r="B47" s="23" t="s">
        <v>91</v>
      </c>
      <c r="C47" s="24"/>
      <c r="D47" s="80" t="s">
        <v>52</v>
      </c>
      <c r="E47" s="80">
        <f>(E10-D10)-(E11-D11)+(E27-D27)+(E28-D28)</f>
        <v>14.255999999999998</v>
      </c>
      <c r="F47" s="80">
        <f t="shared" ref="F47:M47" si="12">(F10-E10)-(F11-E11)+(F27-E27)+(F28-E28)</f>
        <v>9.075999999999997</v>
      </c>
      <c r="G47" s="80">
        <f t="shared" si="12"/>
        <v>40.445000000000007</v>
      </c>
      <c r="H47" s="80">
        <f t="shared" si="12"/>
        <v>-11.890000000000004</v>
      </c>
      <c r="I47" s="163">
        <f t="shared" si="12"/>
        <v>-33.163232824665094</v>
      </c>
      <c r="J47" s="164">
        <f t="shared" si="12"/>
        <v>-0.58000208998625435</v>
      </c>
      <c r="K47" s="164">
        <f t="shared" si="12"/>
        <v>-1.0908205973865108</v>
      </c>
      <c r="L47" s="164">
        <f t="shared" si="12"/>
        <v>-1.9408347751470032</v>
      </c>
      <c r="M47" s="165">
        <f t="shared" si="12"/>
        <v>-3.1399594409884646</v>
      </c>
    </row>
  </sheetData>
  <pageMargins left="0.7" right="0.7" top="0.75" bottom="0.75" header="0.3" footer="0.3"/>
  <ignoredErrors>
    <ignoredError sqref="J31:M31 J11:M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B794-F1C7-4E58-91A2-E6A443ED3C07}">
  <dimension ref="B2:K28"/>
  <sheetViews>
    <sheetView showGridLines="0" workbookViewId="0"/>
  </sheetViews>
  <sheetFormatPr defaultRowHeight="15" x14ac:dyDescent="0.25"/>
  <cols>
    <col min="1" max="1" width="9.140625" style="1"/>
    <col min="2" max="2" width="40.85546875" style="1" bestFit="1" customWidth="1"/>
    <col min="3" max="3" width="12.7109375" style="1" bestFit="1" customWidth="1"/>
    <col min="4" max="4" width="15.5703125" style="1" bestFit="1" customWidth="1"/>
    <col min="5" max="5" width="14.28515625" style="1" bestFit="1" customWidth="1"/>
    <col min="6" max="6" width="16.42578125" style="1" bestFit="1" customWidth="1"/>
    <col min="7" max="7" width="16.140625" style="1" bestFit="1" customWidth="1"/>
    <col min="8" max="8" width="9.140625" style="1"/>
    <col min="9" max="9" width="22.85546875" style="1" bestFit="1" customWidth="1"/>
    <col min="10" max="10" width="9.85546875" style="1" bestFit="1" customWidth="1"/>
    <col min="11" max="11" width="22.85546875" style="1" customWidth="1"/>
    <col min="12" max="16384" width="9.140625" style="1"/>
  </cols>
  <sheetData>
    <row r="2" spans="2:11" x14ac:dyDescent="0.25">
      <c r="B2" s="2" t="s">
        <v>28</v>
      </c>
    </row>
    <row r="3" spans="2:11" ht="15.75" thickBot="1" x14ac:dyDescent="0.3">
      <c r="B3" s="24" t="s">
        <v>6</v>
      </c>
      <c r="C3" s="24"/>
      <c r="D3" s="24"/>
      <c r="E3" s="24"/>
      <c r="F3" s="24"/>
      <c r="G3" s="24"/>
      <c r="H3" s="5"/>
      <c r="I3" s="5"/>
      <c r="J3" s="5"/>
      <c r="K3" s="5"/>
    </row>
    <row r="4" spans="2:11" x14ac:dyDescent="0.25">
      <c r="B4" s="50" t="s">
        <v>92</v>
      </c>
      <c r="C4" s="50"/>
      <c r="I4" s="168" t="s">
        <v>28</v>
      </c>
      <c r="J4" s="169"/>
      <c r="K4" s="170"/>
    </row>
    <row r="5" spans="2:11" ht="15.75" thickBot="1" x14ac:dyDescent="0.3">
      <c r="I5" s="16"/>
      <c r="K5" s="22"/>
    </row>
    <row r="6" spans="2:11" ht="15.75" thickBot="1" x14ac:dyDescent="0.3">
      <c r="B6" s="171" t="s">
        <v>93</v>
      </c>
      <c r="C6" s="172" t="s">
        <v>94</v>
      </c>
      <c r="D6" s="172" t="s">
        <v>95</v>
      </c>
      <c r="E6" s="172" t="s">
        <v>96</v>
      </c>
      <c r="F6" s="172" t="s">
        <v>97</v>
      </c>
      <c r="G6" s="173" t="s">
        <v>98</v>
      </c>
      <c r="I6" s="16" t="s">
        <v>99</v>
      </c>
      <c r="K6" s="22"/>
    </row>
    <row r="7" spans="2:11" ht="15.75" thickBot="1" x14ac:dyDescent="0.3">
      <c r="B7" s="174" t="s">
        <v>6</v>
      </c>
      <c r="C7" s="175">
        <v>52.07</v>
      </c>
      <c r="D7" s="176">
        <v>3983.75</v>
      </c>
      <c r="E7" s="177">
        <v>1</v>
      </c>
      <c r="F7" s="178">
        <f>AVERAGE(F10:F12,F15:F18)</f>
        <v>0.98281511967640411</v>
      </c>
      <c r="G7" s="179">
        <f>F7/(1+(C7/D7)*(1-0.21))</f>
        <v>0.97277051174871365</v>
      </c>
      <c r="I7" s="16" t="s">
        <v>100</v>
      </c>
      <c r="K7" s="180">
        <v>6.6E-3</v>
      </c>
    </row>
    <row r="8" spans="2:11" ht="15.75" thickBot="1" x14ac:dyDescent="0.3">
      <c r="C8" s="166"/>
      <c r="D8" s="166"/>
      <c r="E8" s="167"/>
      <c r="F8" s="167"/>
      <c r="G8" s="167"/>
      <c r="I8" s="16" t="s">
        <v>101</v>
      </c>
      <c r="K8" s="94">
        <f>G7</f>
        <v>0.97277051174871365</v>
      </c>
    </row>
    <row r="9" spans="2:11" ht="15.75" thickBot="1" x14ac:dyDescent="0.3">
      <c r="B9" s="181" t="s">
        <v>110</v>
      </c>
      <c r="C9" s="182"/>
      <c r="D9" s="182"/>
      <c r="E9" s="183"/>
      <c r="F9" s="183"/>
      <c r="G9" s="184"/>
      <c r="I9" s="16" t="s">
        <v>119</v>
      </c>
      <c r="K9" s="180">
        <v>0.05</v>
      </c>
    </row>
    <row r="10" spans="2:11" x14ac:dyDescent="0.25">
      <c r="B10" s="185" t="s">
        <v>112</v>
      </c>
      <c r="C10" s="186">
        <v>68.495000000000005</v>
      </c>
      <c r="D10" s="186">
        <v>9657.0730000000003</v>
      </c>
      <c r="E10" s="167">
        <v>1.26</v>
      </c>
      <c r="F10" s="187">
        <f>E10/(1+(C10/D10)*(1-0.21))</f>
        <v>1.252979236862471</v>
      </c>
      <c r="G10" s="94"/>
      <c r="I10" s="16" t="s">
        <v>102</v>
      </c>
      <c r="K10" s="180">
        <f>K9-K7</f>
        <v>4.3400000000000001E-2</v>
      </c>
    </row>
    <row r="11" spans="2:11" x14ac:dyDescent="0.25">
      <c r="B11" s="185" t="s">
        <v>118</v>
      </c>
      <c r="C11" s="186">
        <v>1130.8699999999999</v>
      </c>
      <c r="D11" s="186">
        <v>88588.585999999996</v>
      </c>
      <c r="E11" s="167">
        <v>1.29</v>
      </c>
      <c r="F11" s="187">
        <f t="shared" ref="F11:F12" si="0">E11/(1+(C11/D11)*(1-0.21))</f>
        <v>1.2771206504003192</v>
      </c>
      <c r="G11" s="94"/>
      <c r="I11" s="70" t="s">
        <v>99</v>
      </c>
      <c r="J11" s="51"/>
      <c r="K11" s="188">
        <f>K7+K8*K10</f>
        <v>4.8818240209894177E-2</v>
      </c>
    </row>
    <row r="12" spans="2:11" ht="15.75" thickBot="1" x14ac:dyDescent="0.3">
      <c r="B12" s="189" t="s">
        <v>114</v>
      </c>
      <c r="C12" s="175">
        <v>17757.95</v>
      </c>
      <c r="D12" s="176">
        <v>181461.75</v>
      </c>
      <c r="E12" s="177">
        <v>0.95</v>
      </c>
      <c r="F12" s="190">
        <f t="shared" si="0"/>
        <v>0.88182615321103752</v>
      </c>
      <c r="G12" s="191"/>
      <c r="I12" s="16"/>
      <c r="K12" s="180"/>
    </row>
    <row r="13" spans="2:11" ht="15.75" thickBot="1" x14ac:dyDescent="0.3">
      <c r="C13" s="166"/>
      <c r="D13" s="166"/>
      <c r="E13" s="167"/>
      <c r="F13" s="167"/>
      <c r="G13" s="167"/>
      <c r="I13" s="16" t="s">
        <v>103</v>
      </c>
      <c r="K13" s="180">
        <f>IS!H20/WACC!K19</f>
        <v>1.7668523141924332E-2</v>
      </c>
    </row>
    <row r="14" spans="2:11" ht="15.75" thickBot="1" x14ac:dyDescent="0.3">
      <c r="B14" s="181" t="s">
        <v>111</v>
      </c>
      <c r="C14" s="182"/>
      <c r="D14" s="182"/>
      <c r="E14" s="183"/>
      <c r="F14" s="183"/>
      <c r="G14" s="184"/>
      <c r="I14" s="16" t="s">
        <v>104</v>
      </c>
      <c r="K14" s="180">
        <f>K13</f>
        <v>1.7668523141924332E-2</v>
      </c>
    </row>
    <row r="15" spans="2:11" x14ac:dyDescent="0.25">
      <c r="B15" s="185" t="s">
        <v>115</v>
      </c>
      <c r="C15" s="186">
        <v>68158</v>
      </c>
      <c r="D15" s="186">
        <v>107092.125</v>
      </c>
      <c r="E15" s="167">
        <v>1.17</v>
      </c>
      <c r="F15" s="187">
        <f t="shared" ref="F15:F18" si="1">E15/(1+(C15/D15)*(1-0.21))</f>
        <v>0.7785520363270223</v>
      </c>
      <c r="G15" s="94"/>
      <c r="I15" s="16" t="s">
        <v>120</v>
      </c>
      <c r="K15" s="192">
        <v>0.21</v>
      </c>
    </row>
    <row r="16" spans="2:11" x14ac:dyDescent="0.25">
      <c r="B16" s="185" t="s">
        <v>116</v>
      </c>
      <c r="C16" s="186">
        <v>82110</v>
      </c>
      <c r="D16" s="186">
        <v>1532751.8</v>
      </c>
      <c r="E16" s="167">
        <v>0.89</v>
      </c>
      <c r="F16" s="187">
        <f t="shared" si="1"/>
        <v>0.85386400522227235</v>
      </c>
      <c r="G16" s="94"/>
      <c r="I16" s="193" t="s">
        <v>121</v>
      </c>
      <c r="J16" s="51"/>
      <c r="K16" s="194">
        <f>K14*(1-K15)</f>
        <v>1.3958133282120222E-2</v>
      </c>
    </row>
    <row r="17" spans="2:11" x14ac:dyDescent="0.25">
      <c r="B17" s="185" t="s">
        <v>113</v>
      </c>
      <c r="C17" s="186">
        <v>73672</v>
      </c>
      <c r="D17" s="186">
        <v>183122.33</v>
      </c>
      <c r="E17" s="167">
        <v>0.82</v>
      </c>
      <c r="F17" s="187">
        <f t="shared" si="1"/>
        <v>0.62223733307707951</v>
      </c>
      <c r="G17" s="94"/>
      <c r="I17" s="16"/>
      <c r="K17" s="22"/>
    </row>
    <row r="18" spans="2:11" ht="15.75" thickBot="1" x14ac:dyDescent="0.3">
      <c r="B18" s="189" t="s">
        <v>117</v>
      </c>
      <c r="C18" s="175">
        <v>6253</v>
      </c>
      <c r="D18" s="176">
        <v>222995.5</v>
      </c>
      <c r="E18" s="177">
        <v>1.24</v>
      </c>
      <c r="F18" s="190">
        <f t="shared" si="1"/>
        <v>1.2131264226346266</v>
      </c>
      <c r="G18" s="191"/>
      <c r="I18" s="16" t="s">
        <v>105</v>
      </c>
      <c r="K18" s="22"/>
    </row>
    <row r="19" spans="2:11" x14ac:dyDescent="0.25">
      <c r="I19" s="16" t="s">
        <v>94</v>
      </c>
      <c r="K19" s="22">
        <f>C7</f>
        <v>52.07</v>
      </c>
    </row>
    <row r="20" spans="2:11" x14ac:dyDescent="0.25">
      <c r="I20" s="70" t="s">
        <v>106</v>
      </c>
      <c r="J20" s="51"/>
      <c r="K20" s="188">
        <f>K19/(K19+K23)</f>
        <v>1.2901962922033192E-2</v>
      </c>
    </row>
    <row r="21" spans="2:11" x14ac:dyDescent="0.25">
      <c r="I21" s="16"/>
      <c r="K21" s="22"/>
    </row>
    <row r="22" spans="2:11" x14ac:dyDescent="0.25">
      <c r="I22" s="16" t="s">
        <v>107</v>
      </c>
      <c r="K22" s="22"/>
    </row>
    <row r="23" spans="2:11" x14ac:dyDescent="0.25">
      <c r="I23" s="16" t="s">
        <v>108</v>
      </c>
      <c r="K23" s="22">
        <f>D7</f>
        <v>3983.75</v>
      </c>
    </row>
    <row r="24" spans="2:11" x14ac:dyDescent="0.25">
      <c r="I24" s="70" t="s">
        <v>109</v>
      </c>
      <c r="J24" s="51"/>
      <c r="K24" s="188">
        <f>K23/(K23+K19)</f>
        <v>0.98709803707796673</v>
      </c>
    </row>
    <row r="25" spans="2:11" ht="15.75" thickBot="1" x14ac:dyDescent="0.3">
      <c r="I25" s="16"/>
      <c r="K25" s="22"/>
    </row>
    <row r="26" spans="2:11" x14ac:dyDescent="0.25">
      <c r="I26" s="16"/>
      <c r="J26" s="195" t="s">
        <v>28</v>
      </c>
      <c r="K26" s="22"/>
    </row>
    <row r="27" spans="2:11" ht="15.75" thickBot="1" x14ac:dyDescent="0.3">
      <c r="I27" s="16"/>
      <c r="J27" s="196">
        <f>K24*K11+K20*K16</f>
        <v>4.8368476402853924E-2</v>
      </c>
      <c r="K27" s="22"/>
    </row>
    <row r="28" spans="2:11" ht="15.75" thickBot="1" x14ac:dyDescent="0.3">
      <c r="I28" s="23"/>
      <c r="J28" s="24"/>
      <c r="K28" s="19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0F81-E1E3-44C9-B967-110F3FA22101}">
  <dimension ref="B2:P31"/>
  <sheetViews>
    <sheetView showGridLines="0" zoomScale="90" zoomScaleNormal="90" workbookViewId="0"/>
  </sheetViews>
  <sheetFormatPr defaultRowHeight="15" x14ac:dyDescent="0.25"/>
  <cols>
    <col min="1" max="1" width="9.140625" style="1"/>
    <col min="2" max="2" width="40.85546875" style="1" bestFit="1" customWidth="1"/>
    <col min="3" max="3" width="12.5703125" style="1" bestFit="1" customWidth="1"/>
    <col min="4" max="4" width="15.5703125" style="1" bestFit="1" customWidth="1"/>
    <col min="5" max="5" width="14.28515625" style="1" bestFit="1" customWidth="1"/>
    <col min="6" max="10" width="14.28515625" style="1" customWidth="1"/>
    <col min="11" max="11" width="24.28515625" style="1" bestFit="1" customWidth="1"/>
    <col min="12" max="12" width="19.5703125" style="1" bestFit="1" customWidth="1"/>
    <col min="13" max="13" width="16.140625" style="1" bestFit="1" customWidth="1"/>
    <col min="14" max="16384" width="9.140625" style="1"/>
  </cols>
  <sheetData>
    <row r="2" spans="2:16" x14ac:dyDescent="0.25">
      <c r="B2" s="2" t="s">
        <v>29</v>
      </c>
    </row>
    <row r="3" spans="2:16" ht="15.75" thickBot="1" x14ac:dyDescent="0.3"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5"/>
      <c r="O3" s="5"/>
      <c r="P3" s="5"/>
    </row>
    <row r="4" spans="2:16" x14ac:dyDescent="0.25">
      <c r="B4" s="50" t="s">
        <v>92</v>
      </c>
      <c r="N4" s="5"/>
      <c r="O4" s="5"/>
      <c r="P4" s="5"/>
    </row>
    <row r="5" spans="2:16" ht="15.75" thickBot="1" x14ac:dyDescent="0.3"/>
    <row r="6" spans="2:16" ht="44.25" thickBot="1" x14ac:dyDescent="0.3">
      <c r="B6" s="200" t="s">
        <v>93</v>
      </c>
      <c r="C6" s="201" t="s">
        <v>122</v>
      </c>
      <c r="D6" s="201" t="s">
        <v>123</v>
      </c>
      <c r="E6" s="202" t="s">
        <v>124</v>
      </c>
      <c r="F6" s="202" t="s">
        <v>125</v>
      </c>
      <c r="G6" s="202" t="s">
        <v>126</v>
      </c>
      <c r="H6" s="202" t="s">
        <v>127</v>
      </c>
      <c r="I6" s="202" t="s">
        <v>60</v>
      </c>
      <c r="J6" s="202" t="s">
        <v>167</v>
      </c>
      <c r="K6" s="202" t="s">
        <v>128</v>
      </c>
      <c r="L6" s="202" t="s">
        <v>129</v>
      </c>
      <c r="M6" s="203" t="s">
        <v>130</v>
      </c>
    </row>
    <row r="7" spans="2:16" ht="15.75" thickBot="1" x14ac:dyDescent="0.3">
      <c r="B7" s="174" t="s">
        <v>6</v>
      </c>
      <c r="C7" s="175">
        <f>'APPN Analysis'!E5</f>
        <v>56.98</v>
      </c>
      <c r="D7" s="176">
        <v>3983.75</v>
      </c>
      <c r="E7" s="176">
        <v>65.479324000000005</v>
      </c>
      <c r="F7" s="176">
        <v>2394.2837</v>
      </c>
      <c r="G7" s="176">
        <v>260.35199999999998</v>
      </c>
      <c r="H7" s="204">
        <v>-50.468020000000003</v>
      </c>
      <c r="I7" s="204">
        <v>-45.726019999999998</v>
      </c>
      <c r="J7" s="205">
        <f>F7/G7</f>
        <v>9.1963330414208464</v>
      </c>
      <c r="K7" s="205">
        <v>0</v>
      </c>
      <c r="L7" s="205">
        <v>0</v>
      </c>
      <c r="M7" s="206">
        <v>-0.77449999999999997</v>
      </c>
      <c r="N7" s="207"/>
    </row>
    <row r="8" spans="2:16" ht="15.75" thickBot="1" x14ac:dyDescent="0.3"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2:16" ht="15.75" thickBot="1" x14ac:dyDescent="0.3">
      <c r="B9" s="181" t="s">
        <v>110</v>
      </c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208"/>
    </row>
    <row r="10" spans="2:16" x14ac:dyDescent="0.25">
      <c r="B10" s="185" t="s">
        <v>112</v>
      </c>
      <c r="C10" s="186">
        <v>120.09</v>
      </c>
      <c r="D10" s="186">
        <v>9657.0730000000003</v>
      </c>
      <c r="E10" s="209">
        <v>79.055000000000007</v>
      </c>
      <c r="F10" s="209">
        <v>6296.8633</v>
      </c>
      <c r="G10" s="209">
        <v>911.38300000000004</v>
      </c>
      <c r="H10" s="210">
        <v>-134.87805</v>
      </c>
      <c r="I10" s="210">
        <v>-98.985050000000001</v>
      </c>
      <c r="J10" s="211">
        <f t="shared" ref="J10:J12" si="0">F10/G10</f>
        <v>6.9091296414350492</v>
      </c>
      <c r="K10" s="211">
        <v>0</v>
      </c>
      <c r="L10" s="211">
        <v>0</v>
      </c>
      <c r="M10" s="212">
        <v>-1.1438999999999999</v>
      </c>
      <c r="N10" s="207"/>
    </row>
    <row r="11" spans="2:16" x14ac:dyDescent="0.25">
      <c r="B11" s="185" t="s">
        <v>118</v>
      </c>
      <c r="C11" s="186">
        <v>461.88</v>
      </c>
      <c r="D11" s="186">
        <v>88588.585999999996</v>
      </c>
      <c r="E11" s="209">
        <v>197.22300000000001</v>
      </c>
      <c r="F11" s="209">
        <v>55117.563000000002</v>
      </c>
      <c r="G11" s="209">
        <v>3460.4369999999999</v>
      </c>
      <c r="H11" s="209">
        <v>42.122799999999998</v>
      </c>
      <c r="I11" s="209">
        <v>412.63679999999999</v>
      </c>
      <c r="J11" s="211">
        <f t="shared" si="0"/>
        <v>15.927919797412871</v>
      </c>
      <c r="K11" s="211">
        <v>1298.1489999999999</v>
      </c>
      <c r="L11" s="211">
        <v>132.51768000000001</v>
      </c>
      <c r="M11" s="136">
        <v>3.1776</v>
      </c>
    </row>
    <row r="12" spans="2:16" ht="15.75" thickBot="1" x14ac:dyDescent="0.3">
      <c r="B12" s="189" t="s">
        <v>114</v>
      </c>
      <c r="C12" s="175">
        <v>153.83330000000001</v>
      </c>
      <c r="D12" s="176">
        <v>181461.75</v>
      </c>
      <c r="E12" s="176">
        <v>1194</v>
      </c>
      <c r="F12" s="176">
        <v>173032.34</v>
      </c>
      <c r="G12" s="176">
        <v>30838.657999999999</v>
      </c>
      <c r="H12" s="176">
        <v>6249.8842999999997</v>
      </c>
      <c r="I12" s="176">
        <v>8345.1170000000002</v>
      </c>
      <c r="J12" s="205">
        <f t="shared" si="0"/>
        <v>5.6108907203419811</v>
      </c>
      <c r="K12" s="205">
        <v>27.605494</v>
      </c>
      <c r="L12" s="205">
        <v>20.674500999999999</v>
      </c>
      <c r="M12" s="213">
        <v>3.1131000000000002</v>
      </c>
    </row>
    <row r="13" spans="2:16" ht="15.75" thickBot="1" x14ac:dyDescent="0.3"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2:16" ht="15.75" thickBot="1" x14ac:dyDescent="0.3">
      <c r="B14" s="181" t="s">
        <v>111</v>
      </c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208"/>
    </row>
    <row r="15" spans="2:16" x14ac:dyDescent="0.25">
      <c r="B15" s="185" t="s">
        <v>115</v>
      </c>
      <c r="C15" s="186">
        <v>120.25</v>
      </c>
      <c r="D15" s="186">
        <v>107092.125</v>
      </c>
      <c r="E15" s="209">
        <v>892.81335000000001</v>
      </c>
      <c r="F15" s="209">
        <v>178965.69</v>
      </c>
      <c r="G15" s="209">
        <v>77147</v>
      </c>
      <c r="H15" s="209">
        <v>10617</v>
      </c>
      <c r="I15" s="209">
        <v>16676</v>
      </c>
      <c r="J15" s="211">
        <f t="shared" ref="J15:J18" si="1">F15/G15</f>
        <v>2.3198010292039872</v>
      </c>
      <c r="K15" s="211">
        <v>16.361183</v>
      </c>
      <c r="L15" s="211">
        <v>10.416568</v>
      </c>
      <c r="M15" s="136">
        <v>10.5632</v>
      </c>
    </row>
    <row r="16" spans="2:16" x14ac:dyDescent="0.25">
      <c r="B16" s="185" t="s">
        <v>116</v>
      </c>
      <c r="C16" s="186">
        <v>202.54</v>
      </c>
      <c r="D16" s="186">
        <v>1532751.8</v>
      </c>
      <c r="E16" s="209">
        <v>7683</v>
      </c>
      <c r="F16" s="209">
        <v>1509150.3</v>
      </c>
      <c r="G16" s="209">
        <v>143015</v>
      </c>
      <c r="H16" s="209">
        <v>52959</v>
      </c>
      <c r="I16" s="209">
        <v>65259</v>
      </c>
      <c r="J16" s="211">
        <f t="shared" si="1"/>
        <v>10.552391707163585</v>
      </c>
      <c r="K16" s="211">
        <v>28.321214999999999</v>
      </c>
      <c r="L16" s="211">
        <v>22.983239999999999</v>
      </c>
      <c r="M16" s="136">
        <v>5.7634999999999996</v>
      </c>
    </row>
    <row r="17" spans="2:15" x14ac:dyDescent="0.25">
      <c r="B17" s="185" t="s">
        <v>113</v>
      </c>
      <c r="C17" s="186">
        <v>60.82</v>
      </c>
      <c r="D17" s="186">
        <v>183122.33</v>
      </c>
      <c r="E17" s="198">
        <v>3294</v>
      </c>
      <c r="F17" s="198">
        <v>208376.38</v>
      </c>
      <c r="G17" s="198">
        <v>39068</v>
      </c>
      <c r="H17" s="198">
        <v>14213</v>
      </c>
      <c r="I17" s="198">
        <v>17181</v>
      </c>
      <c r="J17" s="211">
        <f t="shared" si="1"/>
        <v>5.3336843452441896</v>
      </c>
      <c r="K17" s="211">
        <v>14.514977</v>
      </c>
      <c r="L17" s="211">
        <v>12.007529999999999</v>
      </c>
      <c r="M17" s="199">
        <v>3.0768</v>
      </c>
    </row>
    <row r="18" spans="2:15" ht="15.75" thickBot="1" x14ac:dyDescent="0.3">
      <c r="B18" s="189" t="s">
        <v>117</v>
      </c>
      <c r="C18" s="175">
        <v>245.05</v>
      </c>
      <c r="D18" s="176">
        <v>222995.5</v>
      </c>
      <c r="E18" s="176">
        <v>850</v>
      </c>
      <c r="F18" s="176">
        <v>153269.5</v>
      </c>
      <c r="G18" s="176">
        <v>17098</v>
      </c>
      <c r="H18" s="176">
        <v>503</v>
      </c>
      <c r="I18" s="176">
        <v>2626</v>
      </c>
      <c r="J18" s="205">
        <f t="shared" si="1"/>
        <v>8.96417709673646</v>
      </c>
      <c r="K18" s="205">
        <v>298.35885999999999</v>
      </c>
      <c r="L18" s="205">
        <v>57.149467000000001</v>
      </c>
      <c r="M18" s="213">
        <v>0.1482</v>
      </c>
    </row>
    <row r="19" spans="2:15" ht="15.75" thickBot="1" x14ac:dyDescent="0.3"/>
    <row r="20" spans="2:15" x14ac:dyDescent="0.25">
      <c r="B20" s="159" t="s">
        <v>131</v>
      </c>
      <c r="C20" s="214">
        <f>AVERAGE(C7,C10:C12,C15:C18)</f>
        <v>177.68041249999999</v>
      </c>
      <c r="D20" s="214">
        <f t="shared" ref="D20:L20" si="2">AVERAGE(D7,D10:D12,D15:D18)</f>
        <v>291206.61424999998</v>
      </c>
      <c r="E20" s="215">
        <f t="shared" si="2"/>
        <v>1781.9463342500001</v>
      </c>
      <c r="F20" s="214">
        <f t="shared" si="2"/>
        <v>285825.36499999999</v>
      </c>
      <c r="G20" s="215">
        <f t="shared" si="2"/>
        <v>38974.853750000002</v>
      </c>
      <c r="H20" s="215">
        <f t="shared" si="2"/>
        <v>10549.83262875</v>
      </c>
      <c r="I20" s="215">
        <f t="shared" si="2"/>
        <v>13794.38034125</v>
      </c>
      <c r="J20" s="216">
        <f t="shared" si="2"/>
        <v>8.1017909223698705</v>
      </c>
      <c r="K20" s="216">
        <f t="shared" si="2"/>
        <v>210.41384112499998</v>
      </c>
      <c r="L20" s="216">
        <f t="shared" si="2"/>
        <v>31.96862325</v>
      </c>
      <c r="M20" s="217">
        <v>2.99</v>
      </c>
    </row>
    <row r="21" spans="2:15" x14ac:dyDescent="0.25">
      <c r="B21" s="185" t="s">
        <v>132</v>
      </c>
      <c r="C21" s="207">
        <f>MIN(C7,C10:C12,C15:C18)</f>
        <v>56.98</v>
      </c>
      <c r="D21" s="207">
        <f t="shared" ref="D21:M21" si="3">MIN(D7,D10:D12,D15:D18)</f>
        <v>3983.75</v>
      </c>
      <c r="E21" s="207">
        <f t="shared" si="3"/>
        <v>65.479324000000005</v>
      </c>
      <c r="F21" s="207">
        <f t="shared" si="3"/>
        <v>2394.2837</v>
      </c>
      <c r="G21" s="207">
        <f t="shared" si="3"/>
        <v>260.35199999999998</v>
      </c>
      <c r="H21" s="207">
        <f t="shared" si="3"/>
        <v>-134.87805</v>
      </c>
      <c r="I21" s="207">
        <f t="shared" si="3"/>
        <v>-98.985050000000001</v>
      </c>
      <c r="J21" s="211">
        <f t="shared" ref="J21" si="4">MIN(J7,J10:J12,J15:J18)</f>
        <v>2.3198010292039872</v>
      </c>
      <c r="K21" s="211">
        <f t="shared" si="3"/>
        <v>0</v>
      </c>
      <c r="L21" s="211">
        <f t="shared" si="3"/>
        <v>0</v>
      </c>
      <c r="M21" s="218">
        <f t="shared" si="3"/>
        <v>-1.1438999999999999</v>
      </c>
    </row>
    <row r="22" spans="2:15" x14ac:dyDescent="0.25">
      <c r="B22" s="185" t="s">
        <v>133</v>
      </c>
      <c r="C22" s="207">
        <f>QUARTILE(C7:C18,1)</f>
        <v>105.27250000000001</v>
      </c>
      <c r="D22" s="207">
        <f t="shared" ref="D22:M22" si="5">QUARTILE(D7:D18,1)</f>
        <v>68855.707750000001</v>
      </c>
      <c r="E22" s="207">
        <f t="shared" si="5"/>
        <v>167.68100000000001</v>
      </c>
      <c r="F22" s="207">
        <f t="shared" si="5"/>
        <v>42912.388075000003</v>
      </c>
      <c r="G22" s="207">
        <f t="shared" si="5"/>
        <v>2823.1734999999999</v>
      </c>
      <c r="H22" s="207">
        <f t="shared" si="5"/>
        <v>18.975095000000003</v>
      </c>
      <c r="I22" s="207">
        <f t="shared" si="5"/>
        <v>298.04609499999998</v>
      </c>
      <c r="J22" s="211">
        <f t="shared" ref="J22" si="6">QUARTILE(J7:J18,1)</f>
        <v>5.5415891265675334</v>
      </c>
      <c r="K22" s="211">
        <f t="shared" si="5"/>
        <v>10.88623275</v>
      </c>
      <c r="L22" s="211">
        <f t="shared" si="5"/>
        <v>7.8124260000000003</v>
      </c>
      <c r="M22" s="218">
        <f t="shared" si="5"/>
        <v>-8.2474999999999965E-2</v>
      </c>
    </row>
    <row r="23" spans="2:15" x14ac:dyDescent="0.25">
      <c r="B23" s="185" t="s">
        <v>134</v>
      </c>
      <c r="C23" s="207">
        <f>MEDIAN(C7:C18)</f>
        <v>137.04165</v>
      </c>
      <c r="D23" s="207">
        <f t="shared" ref="D23:M23" si="7">MEDIAN(D7:D18)</f>
        <v>144276.9375</v>
      </c>
      <c r="E23" s="207">
        <f t="shared" si="7"/>
        <v>871.40667499999995</v>
      </c>
      <c r="F23" s="207">
        <f t="shared" si="7"/>
        <v>163150.91999999998</v>
      </c>
      <c r="G23" s="207">
        <f t="shared" si="7"/>
        <v>23968.328999999998</v>
      </c>
      <c r="H23" s="207">
        <f t="shared" si="7"/>
        <v>3376.4421499999999</v>
      </c>
      <c r="I23" s="207">
        <f t="shared" si="7"/>
        <v>5485.5585000000001</v>
      </c>
      <c r="J23" s="211">
        <f t="shared" ref="J23" si="8">MEDIAN(J7:J18)</f>
        <v>7.9366533690857546</v>
      </c>
      <c r="K23" s="211">
        <f t="shared" si="7"/>
        <v>21.983338500000002</v>
      </c>
      <c r="L23" s="211">
        <f t="shared" si="7"/>
        <v>16.341015499999997</v>
      </c>
      <c r="M23" s="218">
        <f t="shared" si="7"/>
        <v>3.0949499999999999</v>
      </c>
    </row>
    <row r="24" spans="2:15" x14ac:dyDescent="0.25">
      <c r="B24" s="185" t="s">
        <v>135</v>
      </c>
      <c r="C24" s="207">
        <f>QUARTILE(C7:C18,3)</f>
        <v>213.16749999999999</v>
      </c>
      <c r="D24" s="207">
        <f t="shared" ref="D24:M24" si="9">QUARTILE(D7:D18,3)</f>
        <v>193090.6225</v>
      </c>
      <c r="E24" s="207">
        <f t="shared" si="9"/>
        <v>1719</v>
      </c>
      <c r="F24" s="207">
        <f t="shared" si="9"/>
        <v>186318.36249999999</v>
      </c>
      <c r="G24" s="207">
        <f t="shared" si="9"/>
        <v>48587.75</v>
      </c>
      <c r="H24" s="207">
        <f t="shared" si="9"/>
        <v>11516</v>
      </c>
      <c r="I24" s="207">
        <f t="shared" si="9"/>
        <v>16802.25</v>
      </c>
      <c r="J24" s="211">
        <f t="shared" ref="J24" si="10">QUARTILE(J7:J18,3)</f>
        <v>9.5353477078565305</v>
      </c>
      <c r="K24" s="211">
        <f t="shared" si="9"/>
        <v>95.830626249999995</v>
      </c>
      <c r="L24" s="211">
        <f t="shared" si="9"/>
        <v>31.52479675</v>
      </c>
      <c r="M24" s="218">
        <f t="shared" si="9"/>
        <v>3.8240749999999997</v>
      </c>
    </row>
    <row r="25" spans="2:15" ht="15.75" thickBot="1" x14ac:dyDescent="0.3">
      <c r="B25" s="189" t="s">
        <v>136</v>
      </c>
      <c r="C25" s="219">
        <f>MAX(C7:C18)</f>
        <v>461.88</v>
      </c>
      <c r="D25" s="219">
        <f t="shared" ref="D25:M25" si="11">MAX(D7:D18)</f>
        <v>1532751.8</v>
      </c>
      <c r="E25" s="219">
        <f t="shared" si="11"/>
        <v>7683</v>
      </c>
      <c r="F25" s="219">
        <f t="shared" si="11"/>
        <v>1509150.3</v>
      </c>
      <c r="G25" s="219">
        <f t="shared" si="11"/>
        <v>143015</v>
      </c>
      <c r="H25" s="219">
        <f t="shared" si="11"/>
        <v>52959</v>
      </c>
      <c r="I25" s="219">
        <f t="shared" si="11"/>
        <v>65259</v>
      </c>
      <c r="J25" s="205">
        <f t="shared" ref="J25" si="12">MAX(J7:J18)</f>
        <v>15.927919797412871</v>
      </c>
      <c r="K25" s="205">
        <f t="shared" si="11"/>
        <v>1298.1489999999999</v>
      </c>
      <c r="L25" s="205">
        <f t="shared" si="11"/>
        <v>132.51768000000001</v>
      </c>
      <c r="M25" s="220">
        <f t="shared" si="11"/>
        <v>10.5632</v>
      </c>
    </row>
    <row r="26" spans="2:15" x14ac:dyDescent="0.25">
      <c r="O26"/>
    </row>
    <row r="27" spans="2:15" ht="15.75" thickBot="1" x14ac:dyDescent="0.3">
      <c r="O27"/>
    </row>
    <row r="28" spans="2:15" ht="15.75" thickBot="1" x14ac:dyDescent="0.3">
      <c r="K28" s="181" t="s">
        <v>172</v>
      </c>
      <c r="L28" s="182" t="s">
        <v>170</v>
      </c>
      <c r="M28" s="208" t="s">
        <v>171</v>
      </c>
      <c r="O28"/>
    </row>
    <row r="29" spans="2:15" x14ac:dyDescent="0.25">
      <c r="K29" s="185" t="s">
        <v>173</v>
      </c>
      <c r="L29" s="211">
        <f>AVERAGE(J10:J12)</f>
        <v>9.4826467197299671</v>
      </c>
      <c r="M29" s="222">
        <v>0.9</v>
      </c>
      <c r="O29"/>
    </row>
    <row r="30" spans="2:15" x14ac:dyDescent="0.25">
      <c r="K30" s="185" t="s">
        <v>174</v>
      </c>
      <c r="L30" s="211">
        <f>AVERAGE(J15:J18)</f>
        <v>6.792513544587055</v>
      </c>
      <c r="M30" s="222">
        <v>0.1</v>
      </c>
    </row>
    <row r="31" spans="2:15" ht="15.75" thickBot="1" x14ac:dyDescent="0.3">
      <c r="K31" s="221" t="s">
        <v>175</v>
      </c>
      <c r="L31" s="223">
        <f>(L29*M29)+(L30*M30)</f>
        <v>9.2136334022156756</v>
      </c>
      <c r="M31" s="224">
        <f>SUM(M29:M30)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87AD-444D-4631-A90B-713CCD97C592}">
  <dimension ref="B2:O75"/>
  <sheetViews>
    <sheetView showGridLines="0" workbookViewId="0"/>
  </sheetViews>
  <sheetFormatPr defaultRowHeight="15" x14ac:dyDescent="0.25"/>
  <cols>
    <col min="1" max="1" width="9.140625" style="1"/>
    <col min="2" max="2" width="3.5703125" style="1" customWidth="1"/>
    <col min="3" max="3" width="31.5703125" style="1" customWidth="1"/>
    <col min="4" max="5" width="11.28515625" style="1" bestFit="1" customWidth="1"/>
    <col min="6" max="6" width="12.42578125" style="1" customWidth="1"/>
    <col min="7" max="12" width="11.28515625" style="1" bestFit="1" customWidth="1"/>
    <col min="13" max="13" width="11.85546875" style="1" bestFit="1" customWidth="1"/>
    <col min="14" max="15" width="11.28515625" style="1" customWidth="1"/>
    <col min="16" max="16384" width="9.140625" style="1"/>
  </cols>
  <sheetData>
    <row r="2" spans="2:13" x14ac:dyDescent="0.25">
      <c r="B2" s="2" t="s">
        <v>30</v>
      </c>
    </row>
    <row r="3" spans="2:13" ht="15.75" thickBot="1" x14ac:dyDescent="0.3">
      <c r="B3" s="24"/>
      <c r="C3" s="24" t="s">
        <v>6</v>
      </c>
      <c r="D3" s="24"/>
      <c r="E3" s="24"/>
      <c r="F3" s="24"/>
      <c r="G3" s="24"/>
      <c r="H3" s="24"/>
      <c r="I3" s="24"/>
      <c r="J3" s="24"/>
      <c r="K3" s="24"/>
    </row>
    <row r="4" spans="2:13" ht="15.75" thickBot="1" x14ac:dyDescent="0.3"/>
    <row r="5" spans="2:13" x14ac:dyDescent="0.25">
      <c r="B5" s="8" t="s">
        <v>7</v>
      </c>
      <c r="C5" s="9"/>
      <c r="D5" s="9" t="s">
        <v>32</v>
      </c>
      <c r="E5" s="9" t="s">
        <v>31</v>
      </c>
      <c r="F5" s="9" t="s">
        <v>8</v>
      </c>
      <c r="G5" s="9" t="s">
        <v>9</v>
      </c>
      <c r="H5" s="9" t="s">
        <v>10</v>
      </c>
      <c r="I5" s="10" t="s">
        <v>11</v>
      </c>
      <c r="J5" s="9" t="s">
        <v>12</v>
      </c>
      <c r="K5" s="9" t="s">
        <v>13</v>
      </c>
      <c r="L5" s="9" t="s">
        <v>14</v>
      </c>
      <c r="M5" s="11" t="s">
        <v>15</v>
      </c>
    </row>
    <row r="6" spans="2:13" x14ac:dyDescent="0.25">
      <c r="B6" s="12" t="s">
        <v>16</v>
      </c>
      <c r="C6" s="13"/>
      <c r="D6" s="48">
        <v>42369</v>
      </c>
      <c r="E6" s="32">
        <v>42735</v>
      </c>
      <c r="F6" s="13" t="s">
        <v>17</v>
      </c>
      <c r="G6" s="13" t="s">
        <v>18</v>
      </c>
      <c r="H6" s="13" t="s">
        <v>19</v>
      </c>
      <c r="I6" s="14" t="s">
        <v>20</v>
      </c>
      <c r="J6" s="13" t="s">
        <v>21</v>
      </c>
      <c r="K6" s="13" t="s">
        <v>22</v>
      </c>
      <c r="L6" s="13" t="s">
        <v>23</v>
      </c>
      <c r="M6" s="15" t="s">
        <v>24</v>
      </c>
    </row>
    <row r="7" spans="2:13" x14ac:dyDescent="0.25">
      <c r="B7" s="78" t="s">
        <v>137</v>
      </c>
      <c r="C7" s="5"/>
      <c r="D7" s="53">
        <f>IS!D7</f>
        <v>111.2</v>
      </c>
      <c r="E7" s="53">
        <f>IS!E7</f>
        <v>132.91999999999999</v>
      </c>
      <c r="F7" s="53">
        <f>IS!F7</f>
        <v>176.74</v>
      </c>
      <c r="G7" s="53">
        <f>IS!G7</f>
        <v>226.74</v>
      </c>
      <c r="H7" s="54">
        <f>IS!H7</f>
        <v>260.35000000000002</v>
      </c>
      <c r="I7" s="53">
        <f>IS!I7</f>
        <v>306.39716184271913</v>
      </c>
      <c r="J7" s="53">
        <f>IS!J7</f>
        <v>360.08741613344364</v>
      </c>
      <c r="K7" s="53">
        <f>IS!K7</f>
        <v>423.34246801985785</v>
      </c>
      <c r="L7" s="53">
        <f>IS!L7</f>
        <v>496.9618888574235</v>
      </c>
      <c r="M7" s="112">
        <f>IS!M7</f>
        <v>580.59936858928654</v>
      </c>
    </row>
    <row r="8" spans="2:13" x14ac:dyDescent="0.25">
      <c r="B8" s="16"/>
      <c r="C8" s="55" t="s">
        <v>42</v>
      </c>
      <c r="D8" s="107"/>
      <c r="E8" s="107">
        <f>E7/D7-1</f>
        <v>0.19532374100719418</v>
      </c>
      <c r="F8" s="107">
        <f t="shared" ref="F8:M8" si="0">F7/E7-1</f>
        <v>0.32967198314775814</v>
      </c>
      <c r="G8" s="107">
        <f t="shared" si="0"/>
        <v>0.2829014371393006</v>
      </c>
      <c r="H8" s="108">
        <f t="shared" si="0"/>
        <v>0.14823145452941699</v>
      </c>
      <c r="I8" s="107">
        <f t="shared" si="0"/>
        <v>0.17686637926913429</v>
      </c>
      <c r="J8" s="107">
        <f t="shared" si="0"/>
        <v>0.17523091260970936</v>
      </c>
      <c r="K8" s="107">
        <f t="shared" si="0"/>
        <v>0.1756658218319207</v>
      </c>
      <c r="L8" s="107">
        <f t="shared" si="0"/>
        <v>0.17390039128820023</v>
      </c>
      <c r="M8" s="113">
        <f t="shared" si="0"/>
        <v>0.16829757292688163</v>
      </c>
    </row>
    <row r="9" spans="2:13" x14ac:dyDescent="0.25">
      <c r="B9" s="16"/>
      <c r="C9" s="5"/>
      <c r="D9" s="5"/>
      <c r="E9" s="5"/>
      <c r="F9" s="5"/>
      <c r="G9" s="5"/>
      <c r="H9" s="6"/>
      <c r="I9" s="5"/>
      <c r="J9" s="5"/>
      <c r="K9" s="5"/>
      <c r="L9" s="5"/>
      <c r="M9" s="22"/>
    </row>
    <row r="10" spans="2:13" x14ac:dyDescent="0.25">
      <c r="B10" s="78" t="s">
        <v>46</v>
      </c>
      <c r="C10" s="5"/>
      <c r="D10" s="49">
        <f>IS!D12</f>
        <v>62.720000000000006</v>
      </c>
      <c r="E10" s="49">
        <f>IS!E12</f>
        <v>82.799999999999983</v>
      </c>
      <c r="F10" s="49">
        <f>IS!F12</f>
        <v>112.14000000000001</v>
      </c>
      <c r="G10" s="49">
        <f>IS!G12</f>
        <v>141.81</v>
      </c>
      <c r="H10" s="110">
        <f>IS!H12</f>
        <v>166.51000000000002</v>
      </c>
      <c r="I10" s="49">
        <f>IS!I12</f>
        <v>196.09418357934027</v>
      </c>
      <c r="J10" s="49">
        <f>IS!J12</f>
        <v>230.45594632540394</v>
      </c>
      <c r="K10" s="49">
        <f>IS!K12</f>
        <v>270.93917953270903</v>
      </c>
      <c r="L10" s="49">
        <f>IS!L12</f>
        <v>318.05560886875105</v>
      </c>
      <c r="M10" s="71">
        <f>IS!M12</f>
        <v>371.58359589714337</v>
      </c>
    </row>
    <row r="11" spans="2:13" x14ac:dyDescent="0.25">
      <c r="B11" s="16"/>
      <c r="C11" s="55" t="s">
        <v>42</v>
      </c>
      <c r="D11" s="107"/>
      <c r="E11" s="107">
        <f>E10/D10-1</f>
        <v>0.32015306122448939</v>
      </c>
      <c r="F11" s="107">
        <f t="shared" ref="F11:M11" si="1">F10/E10-1</f>
        <v>0.35434782608695703</v>
      </c>
      <c r="G11" s="107">
        <f t="shared" si="1"/>
        <v>0.26457998929909032</v>
      </c>
      <c r="H11" s="108">
        <f t="shared" si="1"/>
        <v>0.17417671532332002</v>
      </c>
      <c r="I11" s="107">
        <f t="shared" si="1"/>
        <v>0.17767211326250831</v>
      </c>
      <c r="J11" s="107">
        <f t="shared" si="1"/>
        <v>0.17523091260970936</v>
      </c>
      <c r="K11" s="107">
        <f t="shared" si="1"/>
        <v>0.1756658218319207</v>
      </c>
      <c r="L11" s="107">
        <f t="shared" si="1"/>
        <v>0.17390039128820023</v>
      </c>
      <c r="M11" s="113">
        <f t="shared" si="1"/>
        <v>0.16829757292688141</v>
      </c>
    </row>
    <row r="12" spans="2:13" x14ac:dyDescent="0.25">
      <c r="B12" s="16"/>
      <c r="C12" s="5"/>
      <c r="D12" s="5"/>
      <c r="E12" s="5"/>
      <c r="F12" s="5"/>
      <c r="G12" s="5"/>
      <c r="H12" s="6"/>
      <c r="I12" s="5"/>
      <c r="J12" s="5"/>
      <c r="K12" s="5"/>
      <c r="L12" s="5"/>
      <c r="M12" s="22"/>
    </row>
    <row r="13" spans="2:13" x14ac:dyDescent="0.25">
      <c r="B13" s="78" t="s">
        <v>61</v>
      </c>
      <c r="C13" s="5"/>
      <c r="D13" s="49">
        <f>IS!D29</f>
        <v>-4.8499999999999872</v>
      </c>
      <c r="E13" s="49">
        <f>IS!E29</f>
        <v>-11.370000000000019</v>
      </c>
      <c r="F13" s="49">
        <f>IS!F29</f>
        <v>-31.819999999999993</v>
      </c>
      <c r="G13" s="49">
        <f>IS!G29</f>
        <v>-46.72</v>
      </c>
      <c r="H13" s="110">
        <f>IS!H29</f>
        <v>-50.46999999999997</v>
      </c>
      <c r="I13" s="49">
        <f>IS!I29</f>
        <v>-36.494506945405305</v>
      </c>
      <c r="J13" s="49">
        <f>IS!J29</f>
        <v>-21.284227734683441</v>
      </c>
      <c r="K13" s="49">
        <f>IS!K29</f>
        <v>0.37740898943712864</v>
      </c>
      <c r="L13" s="49">
        <f>IS!L29</f>
        <v>30.260753891821309</v>
      </c>
      <c r="M13" s="71">
        <f>IS!M29</f>
        <v>70.189527442109693</v>
      </c>
    </row>
    <row r="14" spans="2:13" x14ac:dyDescent="0.25">
      <c r="B14" s="16"/>
      <c r="C14" s="5" t="s">
        <v>138</v>
      </c>
      <c r="D14" s="107">
        <f>D13/D7</f>
        <v>-4.3615107913668946E-2</v>
      </c>
      <c r="E14" s="107">
        <f t="shared" ref="E14:M14" si="2">E13/E7</f>
        <v>-8.5540174541077485E-2</v>
      </c>
      <c r="F14" s="107">
        <f t="shared" si="2"/>
        <v>-0.18003847459545089</v>
      </c>
      <c r="G14" s="107">
        <f t="shared" si="2"/>
        <v>-0.20605098350533649</v>
      </c>
      <c r="H14" s="108">
        <f t="shared" si="2"/>
        <v>-0.19385442673324357</v>
      </c>
      <c r="I14" s="107">
        <f t="shared" si="2"/>
        <v>-0.11910850193886194</v>
      </c>
      <c r="J14" s="107">
        <f t="shared" si="2"/>
        <v>-5.910850193886194E-2</v>
      </c>
      <c r="K14" s="107">
        <f t="shared" si="2"/>
        <v>8.9149806113811715E-4</v>
      </c>
      <c r="L14" s="107">
        <f t="shared" si="2"/>
        <v>6.0891498061138055E-2</v>
      </c>
      <c r="M14" s="113">
        <f t="shared" si="2"/>
        <v>0.12089149806113803</v>
      </c>
    </row>
    <row r="15" spans="2:13" x14ac:dyDescent="0.25">
      <c r="B15" s="16" t="s">
        <v>139</v>
      </c>
      <c r="C15" s="5"/>
      <c r="D15" s="49">
        <f>IS!D23</f>
        <v>0.378</v>
      </c>
      <c r="E15" s="49">
        <f>IS!E23</f>
        <v>-1.7</v>
      </c>
      <c r="F15" s="49">
        <f>IS!F23</f>
        <v>0.76100000000000001</v>
      </c>
      <c r="G15" s="49">
        <f>IS!G23</f>
        <v>0.23899999999999999</v>
      </c>
      <c r="H15" s="110">
        <f>IS!H23</f>
        <v>0.82</v>
      </c>
      <c r="I15" s="49">
        <f>IS!I23</f>
        <v>0.94303873082546896</v>
      </c>
      <c r="J15" s="49">
        <f>IS!J23</f>
        <v>0.54999650055672789</v>
      </c>
      <c r="K15" s="49">
        <f>IS!K23</f>
        <v>-9.7524620604779056E-3</v>
      </c>
      <c r="L15" s="49">
        <f>IS!L23</f>
        <v>6.3547583172824744</v>
      </c>
      <c r="M15" s="71">
        <f>IS!M23</f>
        <v>14.739800762843036</v>
      </c>
    </row>
    <row r="16" spans="2:13" x14ac:dyDescent="0.25">
      <c r="B16" s="75"/>
      <c r="C16" s="63" t="s">
        <v>140</v>
      </c>
      <c r="D16" s="118">
        <f>D15/D13</f>
        <v>-7.793814432989711E-2</v>
      </c>
      <c r="E16" s="118">
        <f t="shared" ref="E16:M16" si="3">E15/E13</f>
        <v>0.1495162708883023</v>
      </c>
      <c r="F16" s="118">
        <f t="shared" si="3"/>
        <v>-2.3915776241357642E-2</v>
      </c>
      <c r="G16" s="118">
        <f t="shared" si="3"/>
        <v>-5.1155821917808217E-3</v>
      </c>
      <c r="H16" s="119">
        <f t="shared" si="3"/>
        <v>-1.6247275609272843E-2</v>
      </c>
      <c r="I16" s="120">
        <f t="shared" si="3"/>
        <v>-2.5840566423769661E-2</v>
      </c>
      <c r="J16" s="118">
        <f t="shared" si="3"/>
        <v>-2.5840566423769661E-2</v>
      </c>
      <c r="K16" s="118">
        <f t="shared" si="3"/>
        <v>-2.5840566423769664E-2</v>
      </c>
      <c r="L16" s="118">
        <f t="shared" si="3"/>
        <v>0.21</v>
      </c>
      <c r="M16" s="121">
        <f t="shared" si="3"/>
        <v>0.21</v>
      </c>
    </row>
    <row r="17" spans="2:13" x14ac:dyDescent="0.25">
      <c r="B17" s="78" t="s">
        <v>141</v>
      </c>
      <c r="C17" s="5"/>
      <c r="D17" s="28">
        <f>D13-D15</f>
        <v>-5.2279999999999873</v>
      </c>
      <c r="E17" s="28">
        <f t="shared" ref="E17:M17" si="4">E13-E15</f>
        <v>-9.6700000000000195</v>
      </c>
      <c r="F17" s="28">
        <f t="shared" si="4"/>
        <v>-32.580999999999996</v>
      </c>
      <c r="G17" s="28">
        <f t="shared" si="4"/>
        <v>-46.958999999999996</v>
      </c>
      <c r="H17" s="60">
        <f t="shared" si="4"/>
        <v>-51.289999999999971</v>
      </c>
      <c r="I17" s="28">
        <f t="shared" si="4"/>
        <v>-37.437545676230776</v>
      </c>
      <c r="J17" s="28">
        <f t="shared" si="4"/>
        <v>-21.834224235240168</v>
      </c>
      <c r="K17" s="28">
        <f t="shared" si="4"/>
        <v>0.38716145149760656</v>
      </c>
      <c r="L17" s="28">
        <f t="shared" si="4"/>
        <v>23.905995574538835</v>
      </c>
      <c r="M17" s="18">
        <f t="shared" si="4"/>
        <v>55.449726679266661</v>
      </c>
    </row>
    <row r="18" spans="2:13" x14ac:dyDescent="0.25">
      <c r="B18" s="16" t="s">
        <v>142</v>
      </c>
      <c r="C18" s="5" t="s">
        <v>143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5">
        <v>0</v>
      </c>
      <c r="M18" s="22">
        <v>0</v>
      </c>
    </row>
    <row r="19" spans="2:13" x14ac:dyDescent="0.25">
      <c r="B19" s="16"/>
      <c r="C19" s="5" t="s">
        <v>144</v>
      </c>
      <c r="D19" s="49">
        <f>BS!D16</f>
        <v>-0.5</v>
      </c>
      <c r="E19" s="49">
        <f>BS!E16</f>
        <v>-1</v>
      </c>
      <c r="F19" s="49">
        <f>BS!F16</f>
        <v>-0.4</v>
      </c>
      <c r="G19" s="49">
        <f>BS!G16</f>
        <v>-7</v>
      </c>
      <c r="H19" s="110">
        <f>BS!H16</f>
        <v>-32.4</v>
      </c>
      <c r="I19" s="49">
        <f>BS!I16</f>
        <v>-9.4983120171242934</v>
      </c>
      <c r="J19" s="49">
        <f>BS!J16</f>
        <v>-11.162709900136752</v>
      </c>
      <c r="K19" s="49">
        <f>BS!K16</f>
        <v>-13.123616508615592</v>
      </c>
      <c r="L19" s="49">
        <f>BS!L16</f>
        <v>-15.405818554580128</v>
      </c>
      <c r="M19" s="71">
        <f>BS!M16</f>
        <v>-17.998580426267882</v>
      </c>
    </row>
    <row r="20" spans="2:13" x14ac:dyDescent="0.25">
      <c r="B20" s="16"/>
      <c r="C20" s="55" t="s">
        <v>145</v>
      </c>
      <c r="D20" s="107">
        <f>D19/D7</f>
        <v>-4.4964028776978415E-3</v>
      </c>
      <c r="E20" s="107">
        <f t="shared" ref="E20:M20" si="5">E19/E7</f>
        <v>-7.5233222991272957E-3</v>
      </c>
      <c r="F20" s="107">
        <f t="shared" si="5"/>
        <v>-2.2632114971144054E-3</v>
      </c>
      <c r="G20" s="107">
        <f t="shared" si="5"/>
        <v>-3.087236482314545E-2</v>
      </c>
      <c r="H20" s="108">
        <f t="shared" si="5"/>
        <v>-0.12444785865181485</v>
      </c>
      <c r="I20" s="107">
        <f t="shared" si="5"/>
        <v>-3.1E-2</v>
      </c>
      <c r="J20" s="107">
        <f t="shared" si="5"/>
        <v>-3.1E-2</v>
      </c>
      <c r="K20" s="107">
        <f t="shared" si="5"/>
        <v>-3.1E-2</v>
      </c>
      <c r="L20" s="107">
        <f t="shared" si="5"/>
        <v>-3.0999999999999996E-2</v>
      </c>
      <c r="M20" s="113">
        <f t="shared" si="5"/>
        <v>-3.1E-2</v>
      </c>
    </row>
    <row r="21" spans="2:13" x14ac:dyDescent="0.25">
      <c r="B21" s="75"/>
      <c r="C21" s="7" t="s">
        <v>146</v>
      </c>
      <c r="D21" s="109">
        <v>0</v>
      </c>
      <c r="E21" s="109">
        <f>BS!E47</f>
        <v>14.255999999999998</v>
      </c>
      <c r="F21" s="109">
        <f>BS!F47</f>
        <v>9.075999999999997</v>
      </c>
      <c r="G21" s="109">
        <f>BS!G47</f>
        <v>40.445000000000007</v>
      </c>
      <c r="H21" s="111">
        <f>BS!H47</f>
        <v>-11.890000000000004</v>
      </c>
      <c r="I21" s="109">
        <f>BS!I47</f>
        <v>-33.163232824665094</v>
      </c>
      <c r="J21" s="109">
        <f>BS!J47</f>
        <v>-0.58000208998625435</v>
      </c>
      <c r="K21" s="109">
        <f>BS!K47</f>
        <v>-1.0908205973865108</v>
      </c>
      <c r="L21" s="109">
        <f>BS!L47</f>
        <v>-1.9408347751470032</v>
      </c>
      <c r="M21" s="114">
        <f>BS!M47</f>
        <v>-3.1399594409884646</v>
      </c>
    </row>
    <row r="22" spans="2:13" x14ac:dyDescent="0.25">
      <c r="B22" s="78" t="s">
        <v>147</v>
      </c>
      <c r="C22" s="5"/>
      <c r="D22" s="28">
        <f>D17+D18+D19+D21</f>
        <v>-5.7279999999999873</v>
      </c>
      <c r="E22" s="28">
        <f t="shared" ref="E22:M22" si="6">E17+E18+E19+E21</f>
        <v>3.585999999999979</v>
      </c>
      <c r="F22" s="28">
        <f t="shared" si="6"/>
        <v>-23.904999999999998</v>
      </c>
      <c r="G22" s="28">
        <f t="shared" si="6"/>
        <v>-13.513999999999989</v>
      </c>
      <c r="H22" s="60">
        <f t="shared" si="6"/>
        <v>-95.57999999999997</v>
      </c>
      <c r="I22" s="28">
        <f t="shared" si="6"/>
        <v>-80.099090518020162</v>
      </c>
      <c r="J22" s="28">
        <f t="shared" si="6"/>
        <v>-33.57693622536317</v>
      </c>
      <c r="K22" s="28">
        <f t="shared" si="6"/>
        <v>-13.827275654504497</v>
      </c>
      <c r="L22" s="28">
        <f t="shared" si="6"/>
        <v>6.5593422448117042</v>
      </c>
      <c r="M22" s="18">
        <f t="shared" si="6"/>
        <v>34.31118681201032</v>
      </c>
    </row>
    <row r="23" spans="2:13" x14ac:dyDescent="0.25">
      <c r="B23" s="16" t="s">
        <v>148</v>
      </c>
      <c r="C23" s="5"/>
      <c r="D23" s="5"/>
      <c r="E23" s="5"/>
      <c r="F23" s="5"/>
      <c r="G23" s="5"/>
      <c r="H23" s="6"/>
      <c r="I23" s="5">
        <v>1</v>
      </c>
      <c r="J23" s="5">
        <v>2</v>
      </c>
      <c r="K23" s="5">
        <v>3</v>
      </c>
      <c r="L23" s="5">
        <v>4</v>
      </c>
      <c r="M23" s="22">
        <v>5</v>
      </c>
    </row>
    <row r="24" spans="2:13" ht="15.75" thickBot="1" x14ac:dyDescent="0.3">
      <c r="B24" s="79" t="s">
        <v>149</v>
      </c>
      <c r="C24" s="24"/>
      <c r="D24" s="24"/>
      <c r="E24" s="24"/>
      <c r="F24" s="24"/>
      <c r="G24" s="24"/>
      <c r="H24" s="122"/>
      <c r="I24" s="80">
        <f>I22/(1+$D$28)^I23</f>
        <v>-76.403566418607838</v>
      </c>
      <c r="J24" s="80">
        <f t="shared" ref="J24:M24" si="7">J22/(1+$D$28)^J23</f>
        <v>-30.550136752662524</v>
      </c>
      <c r="K24" s="80">
        <f t="shared" si="7"/>
        <v>-12.000373412318009</v>
      </c>
      <c r="L24" s="80">
        <f t="shared" si="7"/>
        <v>5.4300581096237455</v>
      </c>
      <c r="M24" s="81">
        <f t="shared" si="7"/>
        <v>27.093553693584465</v>
      </c>
    </row>
    <row r="25" spans="2:13" ht="15.75" thickBot="1" x14ac:dyDescent="0.3"/>
    <row r="26" spans="2:13" x14ac:dyDescent="0.25">
      <c r="B26" s="123" t="s">
        <v>150</v>
      </c>
      <c r="C26" s="124"/>
      <c r="D26" s="125"/>
      <c r="E26" s="126"/>
      <c r="F26" s="123" t="s">
        <v>151</v>
      </c>
      <c r="G26" s="124"/>
      <c r="H26" s="125"/>
    </row>
    <row r="27" spans="2:13" x14ac:dyDescent="0.25">
      <c r="B27" s="127"/>
      <c r="C27" s="128"/>
      <c r="D27" s="129"/>
      <c r="E27" s="126"/>
      <c r="F27" s="127"/>
      <c r="G27" s="130"/>
      <c r="H27" s="129"/>
    </row>
    <row r="28" spans="2:13" x14ac:dyDescent="0.25">
      <c r="B28" s="127" t="s">
        <v>28</v>
      </c>
      <c r="C28" s="128"/>
      <c r="D28" s="131">
        <f>WACC!J27</f>
        <v>4.8368476402853924E-2</v>
      </c>
      <c r="E28" s="126"/>
      <c r="F28" s="127" t="s">
        <v>28</v>
      </c>
      <c r="G28" s="130"/>
      <c r="H28" s="131">
        <f>WACC!J27</f>
        <v>4.8368476402853924E-2</v>
      </c>
    </row>
    <row r="29" spans="2:13" x14ac:dyDescent="0.25">
      <c r="B29" s="127"/>
      <c r="C29" s="128"/>
      <c r="D29" s="129"/>
      <c r="E29" s="126"/>
      <c r="F29" s="127"/>
      <c r="G29" s="130"/>
      <c r="H29" s="129"/>
    </row>
    <row r="30" spans="2:13" x14ac:dyDescent="0.25">
      <c r="B30" s="132" t="s">
        <v>152</v>
      </c>
      <c r="C30" s="133"/>
      <c r="D30" s="136">
        <f>SUM(I24:M24)</f>
        <v>-86.430464780380163</v>
      </c>
      <c r="E30" s="134"/>
      <c r="F30" s="132" t="s">
        <v>152</v>
      </c>
      <c r="G30" s="135"/>
      <c r="H30" s="136">
        <f>D30</f>
        <v>-86.430464780380163</v>
      </c>
    </row>
    <row r="31" spans="2:13" x14ac:dyDescent="0.25">
      <c r="B31" s="132" t="s">
        <v>168</v>
      </c>
      <c r="C31" s="133"/>
      <c r="D31" s="136">
        <f>M7</f>
        <v>580.59936858928654</v>
      </c>
      <c r="E31" s="137"/>
      <c r="F31" s="132" t="s">
        <v>153</v>
      </c>
      <c r="G31" s="135"/>
      <c r="H31" s="117">
        <v>4.1500000000000002E-2</v>
      </c>
    </row>
    <row r="32" spans="2:13" x14ac:dyDescent="0.25">
      <c r="B32" s="132" t="s">
        <v>169</v>
      </c>
      <c r="C32" s="133"/>
      <c r="D32" s="138">
        <f>Comps!L31</f>
        <v>9.2136334022156756</v>
      </c>
      <c r="E32" s="139"/>
      <c r="F32" s="132" t="s">
        <v>156</v>
      </c>
      <c r="G32" s="135"/>
      <c r="H32" s="136">
        <f>M22*(1+H31)</f>
        <v>35.735101064708751</v>
      </c>
    </row>
    <row r="33" spans="2:10" x14ac:dyDescent="0.25">
      <c r="B33" s="132" t="s">
        <v>154</v>
      </c>
      <c r="C33" s="133"/>
      <c r="D33" s="136">
        <f>D31*D32</f>
        <v>5349.4297357395808</v>
      </c>
      <c r="E33" s="140"/>
      <c r="F33" s="16" t="s">
        <v>154</v>
      </c>
      <c r="G33" s="135"/>
      <c r="H33" s="136">
        <f>H32/(H28-H31)</f>
        <v>5202.7697219517931</v>
      </c>
    </row>
    <row r="34" spans="2:10" x14ac:dyDescent="0.25">
      <c r="B34" s="132" t="s">
        <v>155</v>
      </c>
      <c r="C34" s="133"/>
      <c r="D34" s="136">
        <f>D33/(1+D28)^5</f>
        <v>4224.1343200808342</v>
      </c>
      <c r="E34" s="140"/>
      <c r="F34" s="16" t="s">
        <v>158</v>
      </c>
      <c r="G34" s="135"/>
      <c r="H34" s="136">
        <f>H33/(1+H28)^5</f>
        <v>4108.3254155380637</v>
      </c>
    </row>
    <row r="35" spans="2:10" x14ac:dyDescent="0.25">
      <c r="B35" s="132"/>
      <c r="C35" s="133"/>
      <c r="D35" s="136"/>
      <c r="E35" s="141"/>
      <c r="F35" s="16" t="s">
        <v>160</v>
      </c>
      <c r="G35" s="135"/>
      <c r="H35" s="136">
        <f>H34+H30</f>
        <v>4021.8949507576835</v>
      </c>
    </row>
    <row r="36" spans="2:10" x14ac:dyDescent="0.25">
      <c r="B36" s="16" t="s">
        <v>157</v>
      </c>
      <c r="C36" s="133"/>
      <c r="D36" s="136">
        <f>D30+D34</f>
        <v>4137.7038553004541</v>
      </c>
      <c r="E36" s="140"/>
      <c r="F36" s="16" t="s">
        <v>94</v>
      </c>
      <c r="G36" s="135"/>
      <c r="H36" s="136">
        <f>D37</f>
        <v>52.07</v>
      </c>
    </row>
    <row r="37" spans="2:10" x14ac:dyDescent="0.25">
      <c r="B37" s="16" t="s">
        <v>94</v>
      </c>
      <c r="C37" s="133"/>
      <c r="D37" s="136">
        <f>WACC!C7</f>
        <v>52.07</v>
      </c>
      <c r="E37" s="140"/>
      <c r="F37" s="16" t="s">
        <v>159</v>
      </c>
      <c r="G37" s="135"/>
      <c r="H37" s="136">
        <f>D38</f>
        <v>159.755</v>
      </c>
    </row>
    <row r="38" spans="2:10" x14ac:dyDescent="0.25">
      <c r="B38" s="16" t="s">
        <v>159</v>
      </c>
      <c r="C38" s="133"/>
      <c r="D38" s="142">
        <f>BS!H9</f>
        <v>159.755</v>
      </c>
      <c r="E38" s="143"/>
      <c r="F38" s="16" t="s">
        <v>108</v>
      </c>
      <c r="G38" s="135"/>
      <c r="H38" s="144">
        <f>H35-H36+H37</f>
        <v>4129.579950757683</v>
      </c>
    </row>
    <row r="39" spans="2:10" x14ac:dyDescent="0.25">
      <c r="B39" s="16" t="s">
        <v>108</v>
      </c>
      <c r="C39" s="133"/>
      <c r="D39" s="136">
        <f>D36-D37+D38</f>
        <v>4245.3888553004535</v>
      </c>
      <c r="E39" s="145"/>
      <c r="F39" s="16" t="s">
        <v>161</v>
      </c>
      <c r="G39" s="135"/>
      <c r="H39" s="142">
        <f>D40</f>
        <v>65.479324000000005</v>
      </c>
    </row>
    <row r="40" spans="2:10" x14ac:dyDescent="0.25">
      <c r="B40" s="16" t="s">
        <v>161</v>
      </c>
      <c r="C40" s="133"/>
      <c r="D40" s="142">
        <f>Comps!E7</f>
        <v>65.479324000000005</v>
      </c>
      <c r="E40" s="140"/>
      <c r="F40" s="16"/>
      <c r="G40" s="135"/>
      <c r="H40" s="146"/>
    </row>
    <row r="41" spans="2:10" x14ac:dyDescent="0.25">
      <c r="B41" s="16"/>
      <c r="C41" s="133"/>
      <c r="D41" s="136"/>
      <c r="E41" s="147"/>
      <c r="F41" s="16" t="s">
        <v>162</v>
      </c>
      <c r="G41" s="135"/>
      <c r="H41" s="136">
        <f>H38/H39</f>
        <v>63.066930116103258</v>
      </c>
    </row>
    <row r="42" spans="2:10" x14ac:dyDescent="0.25">
      <c r="B42" s="16" t="s">
        <v>162</v>
      </c>
      <c r="C42" s="133"/>
      <c r="D42" s="136">
        <f>D39/D40</f>
        <v>64.83556328865663</v>
      </c>
      <c r="E42" s="148"/>
      <c r="F42" s="16" t="s">
        <v>163</v>
      </c>
      <c r="G42" s="135"/>
      <c r="H42" s="142">
        <f>'APPN Analysis'!E5</f>
        <v>56.98</v>
      </c>
    </row>
    <row r="43" spans="2:10" x14ac:dyDescent="0.25">
      <c r="B43" s="16" t="s">
        <v>163</v>
      </c>
      <c r="C43" s="133"/>
      <c r="D43" s="142">
        <f>'APPN Analysis'!E5</f>
        <v>56.98</v>
      </c>
      <c r="E43" s="148"/>
      <c r="F43" s="72" t="s">
        <v>164</v>
      </c>
      <c r="G43" s="135"/>
      <c r="H43" s="149">
        <f>H41/H42-1</f>
        <v>0.10682573036334264</v>
      </c>
    </row>
    <row r="44" spans="2:10" ht="15.75" thickBot="1" x14ac:dyDescent="0.3">
      <c r="B44" s="72" t="s">
        <v>164</v>
      </c>
      <c r="C44" s="133"/>
      <c r="D44" s="149">
        <f>D42/D43-1</f>
        <v>0.1378652735811976</v>
      </c>
      <c r="E44" s="148"/>
      <c r="F44" s="150" t="s">
        <v>166</v>
      </c>
      <c r="G44" s="151"/>
      <c r="H44" s="225">
        <f>H33/M7</f>
        <v>8.9610323459242505</v>
      </c>
    </row>
    <row r="45" spans="2:10" ht="15.75" thickBot="1" x14ac:dyDescent="0.3">
      <c r="B45" s="150" t="s">
        <v>165</v>
      </c>
      <c r="C45" s="152"/>
      <c r="D45" s="153">
        <f>(D33*D28-M22)/(M22+D33)</f>
        <v>4.1687106114212176E-2</v>
      </c>
      <c r="E45" s="148"/>
      <c r="G45" s="135"/>
      <c r="H45" s="154"/>
    </row>
    <row r="46" spans="2:10" x14ac:dyDescent="0.25">
      <c r="B46" s="133"/>
      <c r="C46" s="155"/>
      <c r="D46" s="156"/>
      <c r="E46" s="148"/>
      <c r="G46" s="135"/>
      <c r="H46" s="56"/>
    </row>
    <row r="47" spans="2:10" x14ac:dyDescent="0.25">
      <c r="B47" s="133"/>
      <c r="C47" s="155"/>
      <c r="D47" s="133"/>
      <c r="E47" s="148"/>
      <c r="G47" s="135"/>
      <c r="H47" s="157"/>
    </row>
    <row r="48" spans="2:10" x14ac:dyDescent="0.25">
      <c r="D48" s="2" t="s">
        <v>176</v>
      </c>
      <c r="J48" s="2" t="s">
        <v>28</v>
      </c>
    </row>
    <row r="49" spans="3:15" ht="15.75" thickBot="1" x14ac:dyDescent="0.3">
      <c r="D49" s="240">
        <f>D42</f>
        <v>64.83556328865663</v>
      </c>
      <c r="E49" s="227">
        <f t="shared" ref="E49:H49" si="8">F49-0.001</f>
        <v>4.336847640285392E-2</v>
      </c>
      <c r="F49" s="227">
        <f t="shared" si="8"/>
        <v>4.4368476402853921E-2</v>
      </c>
      <c r="G49" s="227">
        <f t="shared" si="8"/>
        <v>4.5368476402853922E-2</v>
      </c>
      <c r="H49" s="227">
        <f t="shared" si="8"/>
        <v>4.6368476402853923E-2</v>
      </c>
      <c r="I49" s="227">
        <f>J49-0.001</f>
        <v>4.7368476402853923E-2</v>
      </c>
      <c r="J49" s="226">
        <v>4.8368476402853924E-2</v>
      </c>
      <c r="K49" s="227">
        <f>J49+0.001</f>
        <v>4.9368476402853925E-2</v>
      </c>
      <c r="L49" s="227">
        <f t="shared" ref="L49:O49" si="9">K49+0.001</f>
        <v>5.0368476402853926E-2</v>
      </c>
      <c r="M49" s="227">
        <f t="shared" si="9"/>
        <v>5.1368476402853927E-2</v>
      </c>
      <c r="N49" s="227">
        <f t="shared" si="9"/>
        <v>5.2368476402853928E-2</v>
      </c>
      <c r="O49" s="227">
        <f t="shared" si="9"/>
        <v>5.3368476402853929E-2</v>
      </c>
    </row>
    <row r="50" spans="3:15" x14ac:dyDescent="0.25">
      <c r="D50" s="228">
        <f t="shared" ref="D50:D53" si="10">D51-0.1</f>
        <v>8.7136334022156774</v>
      </c>
      <c r="E50" s="229">
        <f t="dataTable" ref="E50:O60" dt2D="1" dtr="1" r1="D28" r2="D32"/>
        <v>62.809542751033618</v>
      </c>
      <c r="F50" s="230">
        <v>62.511167470606573</v>
      </c>
      <c r="G50" s="230">
        <v>62.214509043040948</v>
      </c>
      <c r="H50" s="230">
        <v>61.919555986883623</v>
      </c>
      <c r="I50" s="230">
        <v>61.626296908273652</v>
      </c>
      <c r="J50" s="230">
        <v>61.334720500190805</v>
      </c>
      <c r="K50" s="230">
        <v>61.044815541712637</v>
      </c>
      <c r="L50" s="230">
        <v>60.756570897277186</v>
      </c>
      <c r="M50" s="230">
        <v>60.469975515954076</v>
      </c>
      <c r="N50" s="230">
        <v>60.185018430721122</v>
      </c>
      <c r="O50" s="231">
        <v>59.90168875774922</v>
      </c>
    </row>
    <row r="51" spans="3:15" x14ac:dyDescent="0.25">
      <c r="D51" s="228">
        <f t="shared" si="10"/>
        <v>8.813633402215677</v>
      </c>
      <c r="E51" s="232">
        <v>63.52664951090847</v>
      </c>
      <c r="F51" s="86">
        <v>63.224847591285993</v>
      </c>
      <c r="G51" s="86">
        <v>62.924782154475409</v>
      </c>
      <c r="H51" s="86">
        <v>62.626441587953913</v>
      </c>
      <c r="I51" s="86">
        <v>62.329814367790121</v>
      </c>
      <c r="J51" s="86">
        <v>62.03488905788398</v>
      </c>
      <c r="K51" s="86">
        <v>61.741654309215463</v>
      </c>
      <c r="L51" s="86">
        <v>61.45009885909878</v>
      </c>
      <c r="M51" s="86">
        <v>61.160211530445174</v>
      </c>
      <c r="N51" s="86">
        <v>60.871981231031342</v>
      </c>
      <c r="O51" s="94">
        <v>60.585396952776073</v>
      </c>
    </row>
    <row r="52" spans="3:15" x14ac:dyDescent="0.25">
      <c r="D52" s="228">
        <f t="shared" si="10"/>
        <v>8.9136334022156767</v>
      </c>
      <c r="E52" s="232">
        <v>64.243756270783308</v>
      </c>
      <c r="F52" s="86">
        <v>63.938527711965413</v>
      </c>
      <c r="G52" s="86">
        <v>63.635055265909862</v>
      </c>
      <c r="H52" s="86">
        <v>63.333327189024203</v>
      </c>
      <c r="I52" s="86">
        <v>63.033331827306569</v>
      </c>
      <c r="J52" s="86">
        <v>62.735057615577134</v>
      </c>
      <c r="K52" s="86">
        <v>62.438493076718274</v>
      </c>
      <c r="L52" s="86">
        <v>62.14362682092036</v>
      </c>
      <c r="M52" s="86">
        <v>61.850447544936266</v>
      </c>
      <c r="N52" s="86">
        <v>61.558944031341547</v>
      </c>
      <c r="O52" s="94">
        <v>61.269105147802918</v>
      </c>
    </row>
    <row r="53" spans="3:15" x14ac:dyDescent="0.25">
      <c r="D53" s="228">
        <f t="shared" si="10"/>
        <v>9.0136334022156763</v>
      </c>
      <c r="E53" s="232">
        <v>64.96086303065816</v>
      </c>
      <c r="F53" s="86">
        <v>64.65220783264482</v>
      </c>
      <c r="G53" s="86">
        <v>64.345328377344316</v>
      </c>
      <c r="H53" s="86">
        <v>64.040212790094472</v>
      </c>
      <c r="I53" s="86">
        <v>63.736849286823009</v>
      </c>
      <c r="J53" s="86">
        <v>63.435226173270308</v>
      </c>
      <c r="K53" s="86">
        <v>63.135331844221092</v>
      </c>
      <c r="L53" s="86">
        <v>62.837154782741926</v>
      </c>
      <c r="M53" s="86">
        <v>62.54068355942735</v>
      </c>
      <c r="N53" s="86">
        <v>62.245906831651752</v>
      </c>
      <c r="O53" s="94">
        <v>61.952813342829771</v>
      </c>
    </row>
    <row r="54" spans="3:15" ht="15.75" thickBot="1" x14ac:dyDescent="0.3">
      <c r="D54" s="228">
        <f>D55-0.1</f>
        <v>9.113633402215676</v>
      </c>
      <c r="E54" s="232">
        <v>65.677969790533027</v>
      </c>
      <c r="F54" s="86">
        <v>65.365887953324247</v>
      </c>
      <c r="G54" s="86">
        <v>65.055601488778777</v>
      </c>
      <c r="H54" s="86">
        <v>64.747098391164769</v>
      </c>
      <c r="I54" s="235">
        <v>64.440366746339464</v>
      </c>
      <c r="J54" s="88">
        <v>64.135394730963469</v>
      </c>
      <c r="K54" s="99">
        <v>63.832170611723917</v>
      </c>
      <c r="L54" s="86">
        <v>63.530682744563507</v>
      </c>
      <c r="M54" s="86">
        <v>63.230919573918442</v>
      </c>
      <c r="N54" s="86">
        <v>62.93286963196195</v>
      </c>
      <c r="O54" s="94">
        <v>62.636521537856609</v>
      </c>
    </row>
    <row r="55" spans="3:15" ht="15.75" thickBot="1" x14ac:dyDescent="0.3">
      <c r="C55" s="2" t="s">
        <v>177</v>
      </c>
      <c r="D55" s="228">
        <v>9.2136334022156756</v>
      </c>
      <c r="E55" s="232">
        <v>66.395076550407865</v>
      </c>
      <c r="F55" s="86">
        <v>66.07956807400366</v>
      </c>
      <c r="G55" s="86">
        <v>65.765874600213237</v>
      </c>
      <c r="H55" s="86">
        <v>65.453983992235067</v>
      </c>
      <c r="I55" s="236">
        <v>65.143884205855926</v>
      </c>
      <c r="J55" s="234">
        <v>64.83556328865663</v>
      </c>
      <c r="K55" s="100">
        <v>64.529009379226707</v>
      </c>
      <c r="L55" s="86">
        <v>64.224210706385094</v>
      </c>
      <c r="M55" s="86">
        <v>63.921155588409533</v>
      </c>
      <c r="N55" s="86">
        <v>63.619832432272155</v>
      </c>
      <c r="O55" s="94">
        <v>63.320229732883448</v>
      </c>
    </row>
    <row r="56" spans="3:15" x14ac:dyDescent="0.25">
      <c r="D56" s="228">
        <f>D55+0.1</f>
        <v>9.3136334022156753</v>
      </c>
      <c r="E56" s="232">
        <v>67.112183310282745</v>
      </c>
      <c r="F56" s="86">
        <v>66.793248194683088</v>
      </c>
      <c r="G56" s="86">
        <v>66.476147711647698</v>
      </c>
      <c r="H56" s="86">
        <v>66.160869593305364</v>
      </c>
      <c r="I56" s="237">
        <v>65.847401665372388</v>
      </c>
      <c r="J56" s="238">
        <v>65.535731846349819</v>
      </c>
      <c r="K56" s="239">
        <v>65.225848146729547</v>
      </c>
      <c r="L56" s="86">
        <v>64.917738668206681</v>
      </c>
      <c r="M56" s="86">
        <v>64.611391602900639</v>
      </c>
      <c r="N56" s="86">
        <v>64.30679523258236</v>
      </c>
      <c r="O56" s="94">
        <v>64.0039379279103</v>
      </c>
    </row>
    <row r="57" spans="3:15" x14ac:dyDescent="0.25">
      <c r="D57" s="228">
        <f t="shared" ref="D57:D60" si="11">D56+0.1</f>
        <v>9.4136334022156749</v>
      </c>
      <c r="E57" s="232">
        <v>67.829290070157583</v>
      </c>
      <c r="F57" s="86">
        <v>67.506928315362515</v>
      </c>
      <c r="G57" s="86">
        <v>67.186420823082159</v>
      </c>
      <c r="H57" s="86">
        <v>66.867755194375647</v>
      </c>
      <c r="I57" s="86">
        <v>66.550919124888836</v>
      </c>
      <c r="J57" s="86">
        <v>66.235900404042994</v>
      </c>
      <c r="K57" s="86">
        <v>65.922686914232372</v>
      </c>
      <c r="L57" s="86">
        <v>65.611266630028268</v>
      </c>
      <c r="M57" s="86">
        <v>65.301627617391745</v>
      </c>
      <c r="N57" s="86">
        <v>64.993758032892572</v>
      </c>
      <c r="O57" s="94">
        <v>64.687646122937139</v>
      </c>
    </row>
    <row r="58" spans="3:15" x14ac:dyDescent="0.25">
      <c r="D58" s="228">
        <f t="shared" si="11"/>
        <v>9.5136334022156746</v>
      </c>
      <c r="E58" s="232">
        <v>68.546396830032435</v>
      </c>
      <c r="F58" s="86">
        <v>68.220608436041928</v>
      </c>
      <c r="G58" s="86">
        <v>67.896693934516605</v>
      </c>
      <c r="H58" s="86">
        <v>67.57464079544593</v>
      </c>
      <c r="I58" s="86">
        <v>67.254436584405298</v>
      </c>
      <c r="J58" s="86">
        <v>66.936068961736154</v>
      </c>
      <c r="K58" s="86">
        <v>66.619525681735183</v>
      </c>
      <c r="L58" s="86">
        <v>66.304794591849856</v>
      </c>
      <c r="M58" s="86">
        <v>65.991863631882836</v>
      </c>
      <c r="N58" s="86">
        <v>65.680720833202784</v>
      </c>
      <c r="O58" s="94">
        <v>65.371354317964006</v>
      </c>
    </row>
    <row r="59" spans="3:15" x14ac:dyDescent="0.25">
      <c r="D59" s="228">
        <f t="shared" si="11"/>
        <v>9.6136334022156742</v>
      </c>
      <c r="E59" s="232">
        <v>69.263503589907288</v>
      </c>
      <c r="F59" s="86">
        <v>68.934288556721341</v>
      </c>
      <c r="G59" s="86">
        <v>68.606967045951066</v>
      </c>
      <c r="H59" s="86">
        <v>68.281526396516213</v>
      </c>
      <c r="I59" s="86">
        <v>67.957954043921745</v>
      </c>
      <c r="J59" s="86">
        <v>67.636237519429315</v>
      </c>
      <c r="K59" s="86">
        <v>67.316364449238009</v>
      </c>
      <c r="L59" s="86">
        <v>66.998322553671429</v>
      </c>
      <c r="M59" s="86">
        <v>66.682099646373914</v>
      </c>
      <c r="N59" s="86">
        <v>66.367683633512996</v>
      </c>
      <c r="O59" s="94">
        <v>66.055062512990844</v>
      </c>
    </row>
    <row r="60" spans="3:15" ht="15.75" thickBot="1" x14ac:dyDescent="0.3">
      <c r="D60" s="228">
        <f t="shared" si="11"/>
        <v>9.7136334022156738</v>
      </c>
      <c r="E60" s="233">
        <v>69.98061034978214</v>
      </c>
      <c r="F60" s="177">
        <v>69.647968677400755</v>
      </c>
      <c r="G60" s="177">
        <v>69.317240157385513</v>
      </c>
      <c r="H60" s="177">
        <v>68.988411997586496</v>
      </c>
      <c r="I60" s="177">
        <v>68.661471503438207</v>
      </c>
      <c r="J60" s="177">
        <v>68.33640607712249</v>
      </c>
      <c r="K60" s="177">
        <v>68.013203216740806</v>
      </c>
      <c r="L60" s="177">
        <v>67.691850515493016</v>
      </c>
      <c r="M60" s="177">
        <v>67.372335660865005</v>
      </c>
      <c r="N60" s="177">
        <v>67.054646433823194</v>
      </c>
      <c r="O60" s="191">
        <v>66.738770708017697</v>
      </c>
    </row>
    <row r="63" spans="3:15" x14ac:dyDescent="0.25">
      <c r="D63" s="2" t="s">
        <v>176</v>
      </c>
      <c r="J63" s="2" t="s">
        <v>28</v>
      </c>
    </row>
    <row r="64" spans="3:15" ht="15.75" thickBot="1" x14ac:dyDescent="0.3">
      <c r="D64" s="240">
        <f>H41</f>
        <v>63.066930116103258</v>
      </c>
      <c r="E64" s="227">
        <f t="shared" ref="E64:H64" si="12">F64-0.001</f>
        <v>4.336847640285392E-2</v>
      </c>
      <c r="F64" s="227">
        <f t="shared" si="12"/>
        <v>4.4368476402853921E-2</v>
      </c>
      <c r="G64" s="227">
        <f t="shared" si="12"/>
        <v>4.5368476402853922E-2</v>
      </c>
      <c r="H64" s="227">
        <f t="shared" si="12"/>
        <v>4.6368476402853923E-2</v>
      </c>
      <c r="I64" s="227">
        <f>J64-0.001</f>
        <v>4.7368476402853923E-2</v>
      </c>
      <c r="J64" s="226">
        <v>4.8368476402853924E-2</v>
      </c>
      <c r="K64" s="227">
        <f>J64+0.001</f>
        <v>4.9368476402853925E-2</v>
      </c>
      <c r="L64" s="227">
        <f t="shared" ref="L64:O64" si="13">K64+0.001</f>
        <v>5.0368476402853926E-2</v>
      </c>
      <c r="M64" s="227">
        <f t="shared" si="13"/>
        <v>5.1368476402853927E-2</v>
      </c>
      <c r="N64" s="227">
        <f t="shared" si="13"/>
        <v>5.2368476402853928E-2</v>
      </c>
      <c r="O64" s="227">
        <f t="shared" si="13"/>
        <v>5.3368476402853929E-2</v>
      </c>
    </row>
    <row r="65" spans="3:15" x14ac:dyDescent="0.25">
      <c r="D65" s="227">
        <f t="shared" ref="D65:D68" si="14">D66-0.03%</f>
        <v>3.9999999999999994E-2</v>
      </c>
      <c r="E65" s="229">
        <f t="dataTable" ref="E65:O75" dt2D="1" dtr="1" r1="H28" r2="H31"/>
        <v>131.16528974672474</v>
      </c>
      <c r="F65" s="230">
        <v>100.73209277386947</v>
      </c>
      <c r="G65" s="230">
        <v>81.638883898926423</v>
      </c>
      <c r="H65" s="230">
        <v>68.543719037136228</v>
      </c>
      <c r="I65" s="230">
        <v>59.004544906794322</v>
      </c>
      <c r="J65" s="230">
        <v>51.746571329470981</v>
      </c>
      <c r="K65" s="230">
        <v>46.039297411151693</v>
      </c>
      <c r="L65" s="230">
        <v>41.434038414893834</v>
      </c>
      <c r="M65" s="230">
        <v>37.639979442908896</v>
      </c>
      <c r="N65" s="230">
        <v>34.460355999541264</v>
      </c>
      <c r="O65" s="231">
        <v>31.757277805029389</v>
      </c>
    </row>
    <row r="66" spans="3:15" x14ac:dyDescent="0.25">
      <c r="D66" s="227">
        <f t="shared" si="14"/>
        <v>4.0299999999999996E-2</v>
      </c>
      <c r="E66" s="232">
        <v>143.99880604024301</v>
      </c>
      <c r="F66" s="86">
        <v>108.1670075482762</v>
      </c>
      <c r="G66" s="86">
        <v>86.476670776504875</v>
      </c>
      <c r="H66" s="86">
        <v>71.936837381696307</v>
      </c>
      <c r="I66" s="86">
        <v>61.512682194655596</v>
      </c>
      <c r="J66" s="86">
        <v>53.673914567912398</v>
      </c>
      <c r="K66" s="86">
        <v>47.565237416507173</v>
      </c>
      <c r="L66" s="86">
        <v>42.67114577512276</v>
      </c>
      <c r="M66" s="86">
        <v>38.66243136280621</v>
      </c>
      <c r="N66" s="86">
        <v>35.318999399624161</v>
      </c>
      <c r="O66" s="94">
        <v>32.4881217730386</v>
      </c>
    </row>
    <row r="67" spans="3:15" x14ac:dyDescent="0.25">
      <c r="D67" s="227">
        <f t="shared" si="14"/>
        <v>4.0599999999999997E-2</v>
      </c>
      <c r="E67" s="232">
        <v>159.61367519924835</v>
      </c>
      <c r="F67" s="86">
        <v>116.78567628257663</v>
      </c>
      <c r="G67" s="86">
        <v>91.923178738413284</v>
      </c>
      <c r="H67" s="86">
        <v>75.68288618216134</v>
      </c>
      <c r="I67" s="86">
        <v>64.243156428551316</v>
      </c>
      <c r="J67" s="86">
        <v>55.750116589350206</v>
      </c>
      <c r="K67" s="86">
        <v>49.195592825537041</v>
      </c>
      <c r="L67" s="86">
        <v>43.984238824984971</v>
      </c>
      <c r="M67" s="86">
        <v>39.741852451691628</v>
      </c>
      <c r="N67" s="86">
        <v>36.221419582904325</v>
      </c>
      <c r="O67" s="94">
        <v>33.253308631066211</v>
      </c>
    </row>
    <row r="68" spans="3:15" x14ac:dyDescent="0.25">
      <c r="D68" s="227">
        <f t="shared" si="14"/>
        <v>4.0899999999999999E-2</v>
      </c>
      <c r="E68" s="232">
        <v>179.02397115859557</v>
      </c>
      <c r="F68" s="86">
        <v>126.89525936656823</v>
      </c>
      <c r="G68" s="86">
        <v>98.101010865994354</v>
      </c>
      <c r="H68" s="86">
        <v>79.83995061380034</v>
      </c>
      <c r="I68" s="86">
        <v>67.226902752859971</v>
      </c>
      <c r="J68" s="86">
        <v>57.993115845681423</v>
      </c>
      <c r="K68" s="86">
        <v>50.941460541490066</v>
      </c>
      <c r="L68" s="86">
        <v>45.380540175358959</v>
      </c>
      <c r="M68" s="86">
        <v>40.883140485527562</v>
      </c>
      <c r="N68" s="86">
        <v>37.171051975631364</v>
      </c>
      <c r="O68" s="94">
        <v>34.055317318801222</v>
      </c>
    </row>
    <row r="69" spans="3:15" ht="15.75" thickBot="1" x14ac:dyDescent="0.3">
      <c r="D69" s="227">
        <f>D70-0.03%</f>
        <v>4.1200000000000001E-2</v>
      </c>
      <c r="E69" s="232">
        <v>203.80494007536154</v>
      </c>
      <c r="F69" s="86">
        <v>138.91924832870728</v>
      </c>
      <c r="G69" s="86">
        <v>105.16806459838305</v>
      </c>
      <c r="H69" s="86">
        <v>84.479601878496396</v>
      </c>
      <c r="I69" s="235">
        <v>70.500874357718757</v>
      </c>
      <c r="J69" s="88">
        <v>60.423853678268927</v>
      </c>
      <c r="K69" s="99">
        <v>52.815567671736531</v>
      </c>
      <c r="L69" s="86">
        <v>46.868217755917009</v>
      </c>
      <c r="M69" s="86">
        <v>42.091771235535738</v>
      </c>
      <c r="N69" s="86">
        <v>38.171701124367367</v>
      </c>
      <c r="O69" s="94">
        <v>34.896871237731155</v>
      </c>
    </row>
    <row r="70" spans="3:15" ht="15.75" thickBot="1" x14ac:dyDescent="0.3">
      <c r="C70" s="2" t="s">
        <v>178</v>
      </c>
      <c r="D70" s="226">
        <v>4.1500000000000002E-2</v>
      </c>
      <c r="E70" s="232">
        <v>236.54350552765217</v>
      </c>
      <c r="F70" s="86">
        <v>153.45829837697059</v>
      </c>
      <c r="G70" s="86">
        <v>113.33121710400076</v>
      </c>
      <c r="H70" s="86">
        <v>89.6910523116522</v>
      </c>
      <c r="I70" s="236">
        <v>74.109580709395317</v>
      </c>
      <c r="J70" s="234">
        <v>63.066930116103258</v>
      </c>
      <c r="K70" s="100">
        <v>54.832582300280897</v>
      </c>
      <c r="L70" s="86">
        <v>48.456544704843203</v>
      </c>
      <c r="M70" s="86">
        <v>43.373886322983822</v>
      </c>
      <c r="N70" s="86">
        <v>39.227591639693074</v>
      </c>
      <c r="O70" s="94">
        <v>35.780969147500286</v>
      </c>
    </row>
    <row r="71" spans="3:15" x14ac:dyDescent="0.25">
      <c r="D71" s="227">
        <f>D70+0.03%</f>
        <v>4.1800000000000004E-2</v>
      </c>
      <c r="E71" s="232">
        <v>281.80577821304672</v>
      </c>
      <c r="F71" s="86">
        <v>171.39369266233302</v>
      </c>
      <c r="G71" s="86">
        <v>122.86691378546151</v>
      </c>
      <c r="H71" s="86">
        <v>95.586947619677034</v>
      </c>
      <c r="I71" s="237">
        <v>78.10712301086528</v>
      </c>
      <c r="J71" s="238">
        <v>65.951439386369103</v>
      </c>
      <c r="K71" s="239">
        <v>57.009498170859963</v>
      </c>
      <c r="L71" s="86">
        <v>50.156092846960547</v>
      </c>
      <c r="M71" s="86">
        <v>44.736397601014481</v>
      </c>
      <c r="N71" s="86">
        <v>40.343427816535737</v>
      </c>
      <c r="O71" s="94">
        <v>36.710920869594297</v>
      </c>
    </row>
    <row r="72" spans="3:15" x14ac:dyDescent="0.25">
      <c r="D72" s="227">
        <f t="shared" ref="D72:D75" si="15">D71+0.03%</f>
        <v>4.2100000000000005E-2</v>
      </c>
      <c r="E72" s="232">
        <v>348.47748630467834</v>
      </c>
      <c r="F72" s="86">
        <v>194.0729037921991</v>
      </c>
      <c r="G72" s="86">
        <v>134.15309518936988</v>
      </c>
      <c r="H72" s="86">
        <v>102.31160168163328</v>
      </c>
      <c r="I72" s="86">
        <v>82.559925087169304</v>
      </c>
      <c r="J72" s="86">
        <v>69.112045342804379</v>
      </c>
      <c r="K72" s="86">
        <v>59.366114634789575</v>
      </c>
      <c r="L72" s="86">
        <v>51.978968290939484</v>
      </c>
      <c r="M72" s="86">
        <v>46.187111808122744</v>
      </c>
      <c r="N72" s="86">
        <v>41.524463705569332</v>
      </c>
      <c r="O72" s="94">
        <v>37.690388694248099</v>
      </c>
    </row>
    <row r="73" spans="3:15" x14ac:dyDescent="0.25">
      <c r="D73" s="227">
        <f t="shared" si="15"/>
        <v>4.2400000000000007E-2</v>
      </c>
      <c r="E73" s="232">
        <v>456.45430491536649</v>
      </c>
      <c r="F73" s="86">
        <v>223.66483516508737</v>
      </c>
      <c r="G73" s="86">
        <v>147.72048348979757</v>
      </c>
      <c r="H73" s="86">
        <v>110.05296644754436</v>
      </c>
      <c r="I73" s="86">
        <v>87.550453627112745</v>
      </c>
      <c r="J73" s="86">
        <v>72.590381226588391</v>
      </c>
      <c r="K73" s="86">
        <v>61.925640572270503</v>
      </c>
      <c r="L73" s="86">
        <v>53.939100245585365</v>
      </c>
      <c r="M73" s="86">
        <v>47.734880239958407</v>
      </c>
      <c r="N73" s="86">
        <v>42.776585837352862</v>
      </c>
      <c r="O73" s="94">
        <v>38.723435582502717</v>
      </c>
    </row>
    <row r="74" spans="3:15" x14ac:dyDescent="0.25">
      <c r="D74" s="227">
        <f t="shared" si="15"/>
        <v>4.2700000000000009E-2</v>
      </c>
      <c r="E74" s="232">
        <v>661.34717155680551</v>
      </c>
      <c r="F74" s="86">
        <v>263.89830680391117</v>
      </c>
      <c r="G74" s="86">
        <v>164.33846387024161</v>
      </c>
      <c r="H74" s="86">
        <v>119.06047506978045</v>
      </c>
      <c r="I74" s="86">
        <v>93.182372819076122</v>
      </c>
      <c r="J74" s="86">
        <v>76.436893915204763</v>
      </c>
      <c r="K74" s="86">
        <v>64.715461328194706</v>
      </c>
      <c r="L74" s="86">
        <v>56.052597629164403</v>
      </c>
      <c r="M74" s="86">
        <v>49.389779500320735</v>
      </c>
      <c r="N74" s="86">
        <v>44.106411347390313</v>
      </c>
      <c r="O74" s="94">
        <v>39.814581500979379</v>
      </c>
    </row>
    <row r="75" spans="3:15" ht="15.75" thickBot="1" x14ac:dyDescent="0.3">
      <c r="D75" s="227">
        <f t="shared" si="15"/>
        <v>4.300000000000001E-2</v>
      </c>
      <c r="E75" s="233">
        <v>1199.8725830035753</v>
      </c>
      <c r="F75" s="177">
        <v>321.77189480349278</v>
      </c>
      <c r="G75" s="177">
        <v>185.16623423054446</v>
      </c>
      <c r="H75" s="177">
        <v>129.67241980110211</v>
      </c>
      <c r="I75" s="177">
        <v>99.587822918284502</v>
      </c>
      <c r="J75" s="177">
        <v>80.713306530724566</v>
      </c>
      <c r="K75" s="177">
        <v>67.768122416353563</v>
      </c>
      <c r="L75" s="177">
        <v>58.338192792639454</v>
      </c>
      <c r="M75" s="177">
        <v>51.163331130411734</v>
      </c>
      <c r="N75" s="177">
        <v>45.521404954321241</v>
      </c>
      <c r="O75" s="191">
        <v>40.968869536547217</v>
      </c>
    </row>
  </sheetData>
  <conditionalFormatting sqref="E50:O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:O7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H3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APPN Analysis</vt:lpstr>
      <vt:lpstr>Revenue Build</vt:lpstr>
      <vt:lpstr>IS</vt:lpstr>
      <vt:lpstr>BS</vt:lpstr>
      <vt:lpstr>WACC</vt:lpstr>
      <vt:lpstr>Comps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Rana</dc:creator>
  <cp:lastModifiedBy>Anshul Rana</cp:lastModifiedBy>
  <cp:lastPrinted>2020-09-23T17:27:44Z</cp:lastPrinted>
  <dcterms:created xsi:type="dcterms:W3CDTF">2020-09-21T23:25:18Z</dcterms:created>
  <dcterms:modified xsi:type="dcterms:W3CDTF">2020-09-23T23:45:28Z</dcterms:modified>
</cp:coreProperties>
</file>