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l Rana\Desktop\"/>
    </mc:Choice>
  </mc:AlternateContent>
  <xr:revisionPtr revIDLastSave="0" documentId="13_ncr:1_{864D347D-7AEF-48DA-B690-AD4149F49C66}" xr6:coauthVersionLast="45" xr6:coauthVersionMax="45" xr10:uidLastSave="{00000000-0000-0000-0000-000000000000}"/>
  <bookViews>
    <workbookView xWindow="1635" yWindow="645" windowWidth="32700" windowHeight="14760" xr2:uid="{24AC7909-E78E-4542-AB2D-BCA9270123E5}"/>
  </bookViews>
  <sheets>
    <sheet name="Summary" sheetId="14" r:id="rId1"/>
    <sheet name="Revenue Build" sheetId="1" r:id="rId2"/>
    <sheet name="Assumptions" sheetId="12" r:id="rId3"/>
    <sheet name="Income Statement" sheetId="2" r:id="rId4"/>
    <sheet name="Balance Sheet" sheetId="9" r:id="rId5"/>
    <sheet name="DCF" sheetId="10" r:id="rId6"/>
    <sheet name="WACC" sheetId="11" r:id="rId7"/>
    <sheet name="Comps" sheetId="13" r:id="rId8"/>
    <sheet name="S&amp;P - IS" sheetId="4" r:id="rId9"/>
    <sheet name="S&amp;P - BS" sheetId="7" r:id="rId10"/>
    <sheet name="S&amp;P - CFS" sheetId="8" r:id="rId11"/>
    <sheet name="Stock Price" sheetId="15" r:id="rId12"/>
  </sheets>
  <definedNames>
    <definedName name="_xlnm.Print_Titles" localSheetId="9">'S&amp;P - BS'!$1:$3</definedName>
    <definedName name="_xlnm.Print_Titles" localSheetId="10">'S&amp;P - CFS'!$1:$3</definedName>
    <definedName name="_xlnm.Print_Titles" localSheetId="8">'S&amp;P - IS'!$1:$3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4" l="1"/>
  <c r="G22" i="14"/>
  <c r="E22" i="14"/>
  <c r="F20" i="14"/>
  <c r="G20" i="14"/>
  <c r="E20" i="14"/>
  <c r="G13" i="14"/>
  <c r="G12" i="14"/>
  <c r="G11" i="14"/>
  <c r="N22" i="2"/>
  <c r="H31" i="10" l="1"/>
  <c r="K33" i="10"/>
  <c r="J19" i="11"/>
  <c r="K15" i="11"/>
  <c r="M8" i="14" l="1"/>
  <c r="J12" i="14"/>
  <c r="H37" i="10"/>
  <c r="J11" i="14"/>
  <c r="H36" i="10"/>
  <c r="G14" i="14" s="1"/>
  <c r="G9" i="14"/>
  <c r="G7" i="14"/>
  <c r="J14" i="14" s="1"/>
  <c r="G6" i="14"/>
  <c r="G8" i="14" s="1"/>
  <c r="J16" i="14" l="1"/>
  <c r="C71" i="10" l="1"/>
  <c r="C72" i="10" s="1"/>
  <c r="C73" i="10" s="1"/>
  <c r="C74" i="10" s="1"/>
  <c r="C70" i="10"/>
  <c r="C68" i="10"/>
  <c r="C67" i="10" s="1"/>
  <c r="C66" i="10" s="1"/>
  <c r="C65" i="10" s="1"/>
  <c r="C64" i="10" s="1"/>
  <c r="L10" i="2" l="1"/>
  <c r="M10" i="2" s="1"/>
  <c r="N10" i="2" s="1"/>
  <c r="K10" i="2"/>
  <c r="K17" i="2"/>
  <c r="L17" i="2" s="1"/>
  <c r="M17" i="2" s="1"/>
  <c r="N17" i="2" s="1"/>
  <c r="L15" i="2"/>
  <c r="M15" i="2"/>
  <c r="N15" i="2"/>
  <c r="K15" i="2"/>
  <c r="J10" i="2"/>
  <c r="J17" i="2"/>
  <c r="K39" i="9" l="1"/>
  <c r="L39" i="9" s="1"/>
  <c r="M39" i="9" s="1"/>
  <c r="N39" i="9" s="1"/>
  <c r="J39" i="9"/>
  <c r="K38" i="9"/>
  <c r="L38" i="9"/>
  <c r="M38" i="9" s="1"/>
  <c r="N38" i="9" s="1"/>
  <c r="J38" i="9"/>
  <c r="K37" i="9"/>
  <c r="L37" i="9" s="1"/>
  <c r="M37" i="9" s="1"/>
  <c r="N37" i="9" s="1"/>
  <c r="J37" i="9"/>
  <c r="K34" i="9"/>
  <c r="L34" i="9"/>
  <c r="M34" i="9" s="1"/>
  <c r="N34" i="9" s="1"/>
  <c r="J34" i="9"/>
  <c r="K28" i="9"/>
  <c r="L28" i="9"/>
  <c r="M28" i="9"/>
  <c r="N28" i="9"/>
  <c r="J28" i="9"/>
  <c r="F34" i="9"/>
  <c r="G34" i="9"/>
  <c r="H34" i="9"/>
  <c r="I34" i="9"/>
  <c r="E34" i="9"/>
  <c r="F35" i="9"/>
  <c r="G35" i="9"/>
  <c r="H35" i="9"/>
  <c r="I35" i="9"/>
  <c r="E35" i="9"/>
  <c r="F28" i="9"/>
  <c r="G28" i="9"/>
  <c r="H28" i="9"/>
  <c r="I28" i="9"/>
  <c r="E28" i="9"/>
  <c r="K14" i="9"/>
  <c r="L14" i="9"/>
  <c r="M14" i="9"/>
  <c r="N14" i="9"/>
  <c r="J14" i="9"/>
  <c r="F14" i="9"/>
  <c r="G14" i="9"/>
  <c r="H14" i="9"/>
  <c r="I14" i="9"/>
  <c r="E14" i="9"/>
  <c r="J22" i="2" l="1"/>
  <c r="K22" i="2" s="1"/>
  <c r="L22" i="2" s="1"/>
  <c r="M22" i="2" s="1"/>
  <c r="N27" i="13"/>
  <c r="O27" i="13"/>
  <c r="M27" i="13"/>
  <c r="N26" i="13"/>
  <c r="O26" i="13"/>
  <c r="M26" i="13"/>
  <c r="N25" i="13"/>
  <c r="O25" i="13"/>
  <c r="M25" i="13"/>
  <c r="N24" i="13"/>
  <c r="O24" i="13"/>
  <c r="M24" i="13"/>
  <c r="M23" i="13"/>
  <c r="N23" i="13"/>
  <c r="O23" i="13"/>
  <c r="N22" i="13"/>
  <c r="O22" i="13"/>
  <c r="M22" i="13"/>
  <c r="J15" i="2"/>
  <c r="J20" i="10" l="1"/>
  <c r="K20" i="10"/>
  <c r="L26" i="2"/>
  <c r="M26" i="2" s="1"/>
  <c r="N26" i="2" s="1"/>
  <c r="N20" i="10" s="1"/>
  <c r="K26" i="2"/>
  <c r="J26" i="2"/>
  <c r="K34" i="1"/>
  <c r="M34" i="1" s="1"/>
  <c r="L34" i="1"/>
  <c r="M20" i="10" l="1"/>
  <c r="L20" i="10"/>
  <c r="I24" i="2" l="1"/>
  <c r="I20" i="2"/>
  <c r="G15" i="11"/>
  <c r="C10" i="11" s="1"/>
  <c r="K37" i="11" l="1"/>
  <c r="K40" i="11" s="1"/>
  <c r="C33" i="11"/>
  <c r="C32" i="11"/>
  <c r="F37" i="11"/>
  <c r="G37" i="11"/>
  <c r="H37" i="11"/>
  <c r="J37" i="11"/>
  <c r="J38" i="11" s="1"/>
  <c r="D37" i="11"/>
  <c r="G10" i="1"/>
  <c r="H10" i="1"/>
  <c r="I10" i="1"/>
  <c r="K19" i="11"/>
  <c r="C37" i="11" s="1"/>
  <c r="F10" i="1"/>
  <c r="G38" i="11"/>
  <c r="F38" i="11"/>
  <c r="G8" i="1"/>
  <c r="H8" i="1"/>
  <c r="I8" i="1"/>
  <c r="H33" i="11"/>
  <c r="F8" i="1"/>
  <c r="D33" i="11"/>
  <c r="E19" i="11"/>
  <c r="E37" i="11" s="1"/>
  <c r="H32" i="11"/>
  <c r="H38" i="11" s="1"/>
  <c r="E22" i="11"/>
  <c r="I22" i="11" s="1"/>
  <c r="E23" i="11"/>
  <c r="I23" i="11" s="1"/>
  <c r="E24" i="11"/>
  <c r="I24" i="11" s="1"/>
  <c r="E25" i="11"/>
  <c r="I25" i="11" s="1"/>
  <c r="E26" i="11"/>
  <c r="I26" i="11" s="1"/>
  <c r="E27" i="11"/>
  <c r="I27" i="11" s="1"/>
  <c r="E28" i="11"/>
  <c r="I28" i="11" s="1"/>
  <c r="E29" i="11"/>
  <c r="I29" i="11" s="1"/>
  <c r="E30" i="11"/>
  <c r="I30" i="11" s="1"/>
  <c r="E21" i="11"/>
  <c r="D32" i="11"/>
  <c r="D38" i="11" s="1"/>
  <c r="K27" i="11"/>
  <c r="K22" i="11"/>
  <c r="K23" i="11"/>
  <c r="K24" i="11"/>
  <c r="K25" i="11"/>
  <c r="K26" i="11"/>
  <c r="K28" i="11"/>
  <c r="K29" i="11"/>
  <c r="K30" i="11"/>
  <c r="F20" i="12"/>
  <c r="G20" i="12" s="1"/>
  <c r="H20" i="12" s="1"/>
  <c r="I20" i="12" s="1"/>
  <c r="F19" i="12"/>
  <c r="G19" i="12" s="1"/>
  <c r="H19" i="12" s="1"/>
  <c r="I19" i="12" s="1"/>
  <c r="K21" i="11"/>
  <c r="F15" i="12"/>
  <c r="G15" i="12" s="1"/>
  <c r="H15" i="12" s="1"/>
  <c r="I15" i="12" s="1"/>
  <c r="F13" i="12"/>
  <c r="G13" i="12" s="1"/>
  <c r="H13" i="12" s="1"/>
  <c r="I13" i="12" s="1"/>
  <c r="F14" i="12"/>
  <c r="G14" i="12" s="1"/>
  <c r="H14" i="12" s="1"/>
  <c r="I14" i="12" s="1"/>
  <c r="J31" i="1"/>
  <c r="K31" i="1" s="1"/>
  <c r="L31" i="1" s="1"/>
  <c r="M31" i="1" s="1"/>
  <c r="N31" i="1" s="1"/>
  <c r="J37" i="1"/>
  <c r="K37" i="1" s="1"/>
  <c r="L37" i="1" s="1"/>
  <c r="M37" i="1" s="1"/>
  <c r="N37" i="1" s="1"/>
  <c r="J40" i="1"/>
  <c r="J34" i="1"/>
  <c r="J28" i="1"/>
  <c r="L28" i="1" s="1"/>
  <c r="K28" i="1"/>
  <c r="J25" i="1"/>
  <c r="J22" i="1"/>
  <c r="K22" i="1"/>
  <c r="N22" i="1" s="1"/>
  <c r="L22" i="1"/>
  <c r="M22" i="1"/>
  <c r="J19" i="1"/>
  <c r="K19" i="1" s="1"/>
  <c r="J49" i="1"/>
  <c r="K33" i="11" l="1"/>
  <c r="K32" i="11"/>
  <c r="C38" i="11" s="1"/>
  <c r="K38" i="11" s="1"/>
  <c r="K41" i="11" s="1"/>
  <c r="E33" i="11"/>
  <c r="I19" i="11"/>
  <c r="I37" i="11" s="1"/>
  <c r="K43" i="11" s="1"/>
  <c r="E32" i="11"/>
  <c r="E38" i="11" s="1"/>
  <c r="I21" i="11"/>
  <c r="K40" i="1"/>
  <c r="N28" i="1"/>
  <c r="L19" i="1"/>
  <c r="M19" i="1" s="1"/>
  <c r="M28" i="1"/>
  <c r="K25" i="1"/>
  <c r="N34" i="1"/>
  <c r="K45" i="1"/>
  <c r="L45" i="1"/>
  <c r="M45" i="1"/>
  <c r="N45" i="1"/>
  <c r="J45" i="1"/>
  <c r="F7" i="12"/>
  <c r="K16" i="1" s="1"/>
  <c r="K24" i="1" s="1"/>
  <c r="G7" i="12"/>
  <c r="L16" i="1" s="1"/>
  <c r="H7" i="12"/>
  <c r="M16" i="1" s="1"/>
  <c r="M27" i="1" s="1"/>
  <c r="I7" i="12"/>
  <c r="N16" i="1" s="1"/>
  <c r="N36" i="1" s="1"/>
  <c r="E7" i="12"/>
  <c r="J16" i="1" s="1"/>
  <c r="J39" i="1" s="1"/>
  <c r="K57" i="1"/>
  <c r="L57" i="1" s="1"/>
  <c r="M57" i="1" s="1"/>
  <c r="N57" i="1" s="1"/>
  <c r="J57" i="1"/>
  <c r="L47" i="1"/>
  <c r="M47" i="1" s="1"/>
  <c r="N47" i="1" s="1"/>
  <c r="K47" i="1"/>
  <c r="K49" i="1"/>
  <c r="L49" i="1" s="1"/>
  <c r="M49" i="1" s="1"/>
  <c r="N49" i="1" s="1"/>
  <c r="J47" i="1"/>
  <c r="I12" i="12"/>
  <c r="N46" i="1" s="1"/>
  <c r="N42" i="1" s="1"/>
  <c r="H12" i="12"/>
  <c r="M46" i="1" s="1"/>
  <c r="M42" i="1" s="1"/>
  <c r="G12" i="12"/>
  <c r="L46" i="1" s="1"/>
  <c r="L42" i="1" s="1"/>
  <c r="F12" i="12"/>
  <c r="K46" i="1" s="1"/>
  <c r="K42" i="1" s="1"/>
  <c r="E12" i="12"/>
  <c r="J46" i="1" s="1"/>
  <c r="J42" i="1" s="1"/>
  <c r="K44" i="1"/>
  <c r="L44" i="1" s="1"/>
  <c r="M44" i="1" s="1"/>
  <c r="N44" i="1" s="1"/>
  <c r="J44" i="1"/>
  <c r="F17" i="12"/>
  <c r="K54" i="1" s="1"/>
  <c r="K56" i="1" s="1"/>
  <c r="K53" i="1" s="1"/>
  <c r="K51" i="1" s="1"/>
  <c r="G17" i="12"/>
  <c r="L54" i="1" s="1"/>
  <c r="L56" i="1" s="1"/>
  <c r="L53" i="1" s="1"/>
  <c r="L51" i="1" s="1"/>
  <c r="H17" i="12"/>
  <c r="M54" i="1" s="1"/>
  <c r="M56" i="1" s="1"/>
  <c r="M53" i="1" s="1"/>
  <c r="M51" i="1" s="1"/>
  <c r="I17" i="12"/>
  <c r="N54" i="1" s="1"/>
  <c r="N56" i="1" s="1"/>
  <c r="N53" i="1" s="1"/>
  <c r="N51" i="1" s="1"/>
  <c r="E17" i="12"/>
  <c r="J54" i="1" s="1"/>
  <c r="J56" i="1" s="1"/>
  <c r="J53" i="1" s="1"/>
  <c r="J51" i="1" s="1"/>
  <c r="E13" i="1"/>
  <c r="F13" i="1"/>
  <c r="K26" i="10"/>
  <c r="L26" i="10" s="1"/>
  <c r="M26" i="10" s="1"/>
  <c r="N26" i="10" s="1"/>
  <c r="I23" i="10"/>
  <c r="I22" i="10"/>
  <c r="E51" i="1"/>
  <c r="F51" i="1"/>
  <c r="H56" i="1"/>
  <c r="H53" i="1" s="1"/>
  <c r="H51" i="1" s="1"/>
  <c r="I56" i="1"/>
  <c r="G56" i="1"/>
  <c r="G53" i="1" s="1"/>
  <c r="G51" i="1" s="1"/>
  <c r="H42" i="1"/>
  <c r="I42" i="1"/>
  <c r="G42" i="1"/>
  <c r="I39" i="1"/>
  <c r="H39" i="1"/>
  <c r="G39" i="1"/>
  <c r="I36" i="1"/>
  <c r="H36" i="1"/>
  <c r="G36" i="1"/>
  <c r="G33" i="1"/>
  <c r="H33" i="1"/>
  <c r="I33" i="1"/>
  <c r="I30" i="1"/>
  <c r="H30" i="1"/>
  <c r="G30" i="1"/>
  <c r="H27" i="1"/>
  <c r="G27" i="1"/>
  <c r="I27" i="1"/>
  <c r="I24" i="1"/>
  <c r="H24" i="1"/>
  <c r="G24" i="1"/>
  <c r="I21" i="1"/>
  <c r="H21" i="1"/>
  <c r="G21" i="1"/>
  <c r="H18" i="1"/>
  <c r="I18" i="1"/>
  <c r="G18" i="1"/>
  <c r="K56" i="9"/>
  <c r="L56" i="9"/>
  <c r="M56" i="9"/>
  <c r="N56" i="9"/>
  <c r="J56" i="9"/>
  <c r="K54" i="9"/>
  <c r="L54" i="9"/>
  <c r="M54" i="9"/>
  <c r="N54" i="9" s="1"/>
  <c r="J54" i="9"/>
  <c r="E24" i="10"/>
  <c r="F23" i="10"/>
  <c r="G23" i="10"/>
  <c r="H23" i="10"/>
  <c r="E23" i="10"/>
  <c r="F19" i="10"/>
  <c r="G19" i="10"/>
  <c r="H19" i="10"/>
  <c r="I19" i="10"/>
  <c r="E19" i="10"/>
  <c r="F13" i="10"/>
  <c r="F22" i="10" s="1"/>
  <c r="G13" i="10"/>
  <c r="G22" i="10" s="1"/>
  <c r="H13" i="10"/>
  <c r="H22" i="10" s="1"/>
  <c r="I13" i="10"/>
  <c r="E13" i="10"/>
  <c r="E22" i="10" s="1"/>
  <c r="N27" i="1" l="1"/>
  <c r="J18" i="1"/>
  <c r="J24" i="1"/>
  <c r="J30" i="1"/>
  <c r="I32" i="11"/>
  <c r="I38" i="11" s="1"/>
  <c r="K44" i="11" s="1"/>
  <c r="C13" i="11" s="1"/>
  <c r="I33" i="11"/>
  <c r="J21" i="1"/>
  <c r="J33" i="1"/>
  <c r="N30" i="1"/>
  <c r="J27" i="1"/>
  <c r="J36" i="1"/>
  <c r="L40" i="1"/>
  <c r="N19" i="1"/>
  <c r="N25" i="1"/>
  <c r="N24" i="1" s="1"/>
  <c r="L25" i="1"/>
  <c r="M25" i="1" s="1"/>
  <c r="M24" i="1" s="1"/>
  <c r="L30" i="1"/>
  <c r="L36" i="1"/>
  <c r="K36" i="1"/>
  <c r="M36" i="1"/>
  <c r="L33" i="1"/>
  <c r="K33" i="1"/>
  <c r="K30" i="1"/>
  <c r="M30" i="1"/>
  <c r="K27" i="1"/>
  <c r="L27" i="1"/>
  <c r="L24" i="1"/>
  <c r="K21" i="1"/>
  <c r="K18" i="1"/>
  <c r="F7" i="1"/>
  <c r="F11" i="1" s="1"/>
  <c r="F7" i="2" s="1"/>
  <c r="E7" i="1"/>
  <c r="E11" i="1" s="1"/>
  <c r="E7" i="2" s="1"/>
  <c r="I53" i="1"/>
  <c r="I51" i="1" s="1"/>
  <c r="G15" i="1"/>
  <c r="G13" i="1" s="1"/>
  <c r="G7" i="1" s="1"/>
  <c r="G11" i="1" s="1"/>
  <c r="G7" i="2" s="1"/>
  <c r="I15" i="1"/>
  <c r="I13" i="1" s="1"/>
  <c r="H15" i="1"/>
  <c r="H13" i="1" s="1"/>
  <c r="H7" i="1" s="1"/>
  <c r="H11" i="1" s="1"/>
  <c r="H7" i="2" s="1"/>
  <c r="J15" i="1" l="1"/>
  <c r="J13" i="1" s="1"/>
  <c r="J7" i="1" s="1"/>
  <c r="J6" i="14"/>
  <c r="M14" i="14" s="1"/>
  <c r="M40" i="1"/>
  <c r="N40" i="1" s="1"/>
  <c r="K39" i="1"/>
  <c r="K15" i="1" s="1"/>
  <c r="K13" i="1" s="1"/>
  <c r="K7" i="1" s="1"/>
  <c r="N33" i="1"/>
  <c r="M33" i="1"/>
  <c r="L21" i="1"/>
  <c r="L18" i="1"/>
  <c r="I7" i="1"/>
  <c r="I11" i="1" s="1"/>
  <c r="I7" i="2" s="1"/>
  <c r="J8" i="1" l="1"/>
  <c r="J9" i="1"/>
  <c r="J10" i="1" s="1"/>
  <c r="K39" i="10"/>
  <c r="K8" i="1"/>
  <c r="K9" i="1"/>
  <c r="L39" i="1"/>
  <c r="L15" i="1" s="1"/>
  <c r="L13" i="1" s="1"/>
  <c r="L7" i="1" s="1"/>
  <c r="N21" i="1"/>
  <c r="M21" i="1"/>
  <c r="N18" i="1"/>
  <c r="M18" i="1"/>
  <c r="J11" i="1" l="1"/>
  <c r="J7" i="10" s="1"/>
  <c r="K10" i="1"/>
  <c r="L9" i="1"/>
  <c r="L10" i="1" s="1"/>
  <c r="L8" i="1"/>
  <c r="K11" i="1"/>
  <c r="N39" i="1"/>
  <c r="N15" i="1" s="1"/>
  <c r="N13" i="1" s="1"/>
  <c r="N7" i="1" s="1"/>
  <c r="M39" i="1"/>
  <c r="M15" i="1" s="1"/>
  <c r="M13" i="1" s="1"/>
  <c r="M7" i="1" s="1"/>
  <c r="J7" i="2" l="1"/>
  <c r="J13" i="9" s="1"/>
  <c r="K7" i="10"/>
  <c r="K8" i="10" s="1"/>
  <c r="K7" i="2"/>
  <c r="L11" i="1"/>
  <c r="M9" i="1"/>
  <c r="M10" i="1" s="1"/>
  <c r="M8" i="1"/>
  <c r="N8" i="1"/>
  <c r="N9" i="1"/>
  <c r="N10" i="1" s="1"/>
  <c r="F56" i="9"/>
  <c r="G56" i="9"/>
  <c r="H56" i="9"/>
  <c r="I56" i="9"/>
  <c r="E56" i="9"/>
  <c r="F54" i="9"/>
  <c r="G54" i="9"/>
  <c r="H54" i="9"/>
  <c r="I54" i="9"/>
  <c r="E54" i="9"/>
  <c r="N51" i="9"/>
  <c r="G51" i="9"/>
  <c r="H51" i="9"/>
  <c r="I51" i="9"/>
  <c r="J51" i="9"/>
  <c r="K51" i="9"/>
  <c r="L51" i="9"/>
  <c r="M51" i="9"/>
  <c r="F51" i="9"/>
  <c r="F70" i="9"/>
  <c r="G70" i="9"/>
  <c r="H70" i="9"/>
  <c r="I55" i="9"/>
  <c r="J55" i="9" s="1"/>
  <c r="K55" i="9" s="1"/>
  <c r="L55" i="9" s="1"/>
  <c r="M55" i="9" s="1"/>
  <c r="N55" i="9" s="1"/>
  <c r="E7" i="10"/>
  <c r="F45" i="9"/>
  <c r="G45" i="9"/>
  <c r="H45" i="9"/>
  <c r="I45" i="9"/>
  <c r="E45" i="9"/>
  <c r="F15" i="9"/>
  <c r="F22" i="9" s="1"/>
  <c r="G15" i="9"/>
  <c r="G22" i="9" s="1"/>
  <c r="H15" i="9"/>
  <c r="H22" i="9" s="1"/>
  <c r="I15" i="9"/>
  <c r="I22" i="9" s="1"/>
  <c r="E15" i="9"/>
  <c r="E22" i="9" s="1"/>
  <c r="J10" i="9" l="1"/>
  <c r="J8" i="2"/>
  <c r="J14" i="2"/>
  <c r="J33" i="9" s="1"/>
  <c r="J18" i="2"/>
  <c r="J16" i="2"/>
  <c r="J13" i="10" s="1"/>
  <c r="J14" i="10" s="1"/>
  <c r="J9" i="2"/>
  <c r="J11" i="2" s="1"/>
  <c r="J69" i="9"/>
  <c r="J23" i="10" s="1"/>
  <c r="J22" i="10"/>
  <c r="K69" i="9"/>
  <c r="K23" i="10" s="1"/>
  <c r="K10" i="9"/>
  <c r="K13" i="9"/>
  <c r="K18" i="2"/>
  <c r="K16" i="2"/>
  <c r="K13" i="10" s="1"/>
  <c r="M11" i="1"/>
  <c r="L7" i="10"/>
  <c r="L8" i="10" s="1"/>
  <c r="L7" i="2"/>
  <c r="K9" i="2"/>
  <c r="K14" i="2"/>
  <c r="K8" i="2"/>
  <c r="N11" i="1"/>
  <c r="E55" i="9"/>
  <c r="H10" i="2"/>
  <c r="H7" i="10"/>
  <c r="G7" i="10"/>
  <c r="G10" i="2"/>
  <c r="H55" i="9"/>
  <c r="G55" i="9"/>
  <c r="E70" i="9"/>
  <c r="J70" i="9" s="1"/>
  <c r="K70" i="9" s="1"/>
  <c r="L70" i="9" s="1"/>
  <c r="M70" i="9" s="1"/>
  <c r="N70" i="9" s="1"/>
  <c r="I7" i="10"/>
  <c r="J8" i="10" s="1"/>
  <c r="I10" i="2"/>
  <c r="F7" i="10"/>
  <c r="F10" i="2"/>
  <c r="F55" i="9"/>
  <c r="I70" i="9"/>
  <c r="J26" i="9" l="1"/>
  <c r="J27" i="9"/>
  <c r="J11" i="9"/>
  <c r="J15" i="9" s="1"/>
  <c r="J13" i="2"/>
  <c r="J12" i="2"/>
  <c r="J20" i="2"/>
  <c r="L13" i="9"/>
  <c r="L69" i="9"/>
  <c r="L23" i="10" s="1"/>
  <c r="L10" i="9"/>
  <c r="L18" i="2"/>
  <c r="K13" i="2"/>
  <c r="K27" i="9"/>
  <c r="K33" i="9"/>
  <c r="K11" i="2"/>
  <c r="K12" i="2" s="1"/>
  <c r="K11" i="9"/>
  <c r="K15" i="9" s="1"/>
  <c r="K26" i="9"/>
  <c r="I40" i="9"/>
  <c r="I47" i="9" s="1"/>
  <c r="I62" i="9"/>
  <c r="G40" i="9"/>
  <c r="G47" i="9" s="1"/>
  <c r="G62" i="9"/>
  <c r="H40" i="9"/>
  <c r="H47" i="9" s="1"/>
  <c r="H62" i="9"/>
  <c r="F40" i="9"/>
  <c r="F47" i="9" s="1"/>
  <c r="F62" i="9"/>
  <c r="E40" i="9"/>
  <c r="E47" i="9" s="1"/>
  <c r="E62" i="9"/>
  <c r="K22" i="10"/>
  <c r="K14" i="10"/>
  <c r="L9" i="2"/>
  <c r="L8" i="2"/>
  <c r="N7" i="10"/>
  <c r="N7" i="2"/>
  <c r="M7" i="10"/>
  <c r="M7" i="2"/>
  <c r="F13" i="2"/>
  <c r="G13" i="2"/>
  <c r="H13" i="2"/>
  <c r="I13" i="2"/>
  <c r="E13" i="2"/>
  <c r="G19" i="2"/>
  <c r="H19" i="2"/>
  <c r="I19" i="2"/>
  <c r="E19" i="2"/>
  <c r="F17" i="2"/>
  <c r="F14" i="10" s="1"/>
  <c r="G17" i="2"/>
  <c r="G14" i="10" s="1"/>
  <c r="H17" i="2"/>
  <c r="H14" i="10" s="1"/>
  <c r="I17" i="2"/>
  <c r="I14" i="10" s="1"/>
  <c r="E17" i="2"/>
  <c r="E15" i="2"/>
  <c r="F15" i="2"/>
  <c r="G15" i="2"/>
  <c r="H15" i="2"/>
  <c r="I15" i="2"/>
  <c r="F11" i="2"/>
  <c r="F20" i="2" s="1"/>
  <c r="G11" i="2"/>
  <c r="G20" i="2" s="1"/>
  <c r="H11" i="2"/>
  <c r="H20" i="2" s="1"/>
  <c r="I11" i="2"/>
  <c r="E11" i="2"/>
  <c r="E12" i="2" s="1"/>
  <c r="G8" i="2"/>
  <c r="G8" i="10" s="1"/>
  <c r="H8" i="2"/>
  <c r="H8" i="10" s="1"/>
  <c r="I8" i="2"/>
  <c r="I8" i="10" s="1"/>
  <c r="F8" i="2"/>
  <c r="F8" i="10" s="1"/>
  <c r="J35" i="9" l="1"/>
  <c r="J62" i="9" s="1"/>
  <c r="J63" i="9" s="1"/>
  <c r="J24" i="10" s="1"/>
  <c r="M10" i="9"/>
  <c r="M13" i="9"/>
  <c r="M69" i="9"/>
  <c r="M23" i="10" s="1"/>
  <c r="M18" i="2"/>
  <c r="N10" i="9"/>
  <c r="N13" i="9"/>
  <c r="N69" i="9"/>
  <c r="N23" i="10" s="1"/>
  <c r="N18" i="2"/>
  <c r="N8" i="10"/>
  <c r="J24" i="2"/>
  <c r="J10" i="10"/>
  <c r="K20" i="2"/>
  <c r="K10" i="10" s="1"/>
  <c r="K35" i="9"/>
  <c r="K62" i="9" s="1"/>
  <c r="L11" i="2"/>
  <c r="L12" i="2" s="1"/>
  <c r="L11" i="9"/>
  <c r="L15" i="9" s="1"/>
  <c r="L26" i="9"/>
  <c r="H63" i="9"/>
  <c r="H24" i="10" s="1"/>
  <c r="G63" i="9"/>
  <c r="G24" i="10" s="1"/>
  <c r="I63" i="9"/>
  <c r="I24" i="10" s="1"/>
  <c r="F63" i="9"/>
  <c r="F24" i="10" s="1"/>
  <c r="M8" i="2"/>
  <c r="M9" i="2"/>
  <c r="M8" i="10"/>
  <c r="N9" i="2"/>
  <c r="N8" i="2"/>
  <c r="E14" i="10"/>
  <c r="F24" i="2"/>
  <c r="F29" i="2" s="1"/>
  <c r="F10" i="10"/>
  <c r="F16" i="10" s="1"/>
  <c r="G24" i="2"/>
  <c r="G29" i="2" s="1"/>
  <c r="G10" i="10"/>
  <c r="H24" i="2"/>
  <c r="H29" i="2" s="1"/>
  <c r="H10" i="10"/>
  <c r="E20" i="2"/>
  <c r="F12" i="2"/>
  <c r="I12" i="2"/>
  <c r="H12" i="2"/>
  <c r="G12" i="2"/>
  <c r="K63" i="9" l="1"/>
  <c r="K24" i="10" s="1"/>
  <c r="J25" i="2"/>
  <c r="J19" i="10" s="1"/>
  <c r="J21" i="10" s="1"/>
  <c r="J25" i="10" s="1"/>
  <c r="J27" i="10" s="1"/>
  <c r="J16" i="10"/>
  <c r="J17" i="10" s="1"/>
  <c r="J11" i="10"/>
  <c r="K24" i="2"/>
  <c r="K25" i="2" s="1"/>
  <c r="K19" i="10" s="1"/>
  <c r="K21" i="10" s="1"/>
  <c r="N11" i="2"/>
  <c r="N12" i="2" s="1"/>
  <c r="N26" i="9"/>
  <c r="N11" i="9"/>
  <c r="N15" i="9" s="1"/>
  <c r="M11" i="2"/>
  <c r="M12" i="2" s="1"/>
  <c r="M26" i="9"/>
  <c r="M11" i="9"/>
  <c r="M15" i="9" s="1"/>
  <c r="L16" i="2"/>
  <c r="L13" i="10" s="1"/>
  <c r="M14" i="2"/>
  <c r="L14" i="2"/>
  <c r="K16" i="10"/>
  <c r="K17" i="10" s="1"/>
  <c r="K11" i="10"/>
  <c r="F26" i="2"/>
  <c r="F20" i="10" s="1"/>
  <c r="H11" i="10"/>
  <c r="H16" i="10"/>
  <c r="H17" i="10" s="1"/>
  <c r="H21" i="10"/>
  <c r="H25" i="10" s="1"/>
  <c r="H26" i="2"/>
  <c r="H20" i="10" s="1"/>
  <c r="G21" i="10"/>
  <c r="G25" i="10" s="1"/>
  <c r="G11" i="10"/>
  <c r="G16" i="10"/>
  <c r="G17" i="10" s="1"/>
  <c r="E24" i="2"/>
  <c r="E10" i="10"/>
  <c r="I29" i="2"/>
  <c r="I10" i="10"/>
  <c r="I21" i="10" s="1"/>
  <c r="F11" i="10"/>
  <c r="F17" i="10"/>
  <c r="F21" i="10"/>
  <c r="F25" i="10" s="1"/>
  <c r="G26" i="2"/>
  <c r="G20" i="10" s="1"/>
  <c r="J29" i="2" l="1"/>
  <c r="K25" i="10"/>
  <c r="K27" i="10" s="1"/>
  <c r="L33" i="9"/>
  <c r="L27" i="9"/>
  <c r="M33" i="9"/>
  <c r="M27" i="9"/>
  <c r="K29" i="2"/>
  <c r="L13" i="2"/>
  <c r="L20" i="2" s="1"/>
  <c r="L10" i="10" s="1"/>
  <c r="L11" i="10" s="1"/>
  <c r="L22" i="10"/>
  <c r="L14" i="10"/>
  <c r="N16" i="2"/>
  <c r="N13" i="10" s="1"/>
  <c r="M16" i="2"/>
  <c r="M13" i="10" s="1"/>
  <c r="N14" i="2"/>
  <c r="I26" i="2"/>
  <c r="I20" i="10" s="1"/>
  <c r="E29" i="2"/>
  <c r="E26" i="2"/>
  <c r="E20" i="10" s="1"/>
  <c r="I25" i="10"/>
  <c r="I11" i="10"/>
  <c r="I16" i="10"/>
  <c r="I17" i="10" s="1"/>
  <c r="E21" i="10"/>
  <c r="E25" i="10" s="1"/>
  <c r="E16" i="10"/>
  <c r="E17" i="10" s="1"/>
  <c r="E11" i="10"/>
  <c r="L35" i="9" l="1"/>
  <c r="L62" i="9" s="1"/>
  <c r="L63" i="9" s="1"/>
  <c r="L24" i="10" s="1"/>
  <c r="M35" i="9"/>
  <c r="M62" i="9" s="1"/>
  <c r="N27" i="9"/>
  <c r="N33" i="9"/>
  <c r="L16" i="10"/>
  <c r="L17" i="10" s="1"/>
  <c r="N13" i="2"/>
  <c r="N20" i="2" s="1"/>
  <c r="N24" i="2" s="1"/>
  <c r="L24" i="2"/>
  <c r="M22" i="10"/>
  <c r="M14" i="10"/>
  <c r="N22" i="10"/>
  <c r="N14" i="10"/>
  <c r="M13" i="2"/>
  <c r="M20" i="2" s="1"/>
  <c r="M63" i="9" l="1"/>
  <c r="M24" i="10" s="1"/>
  <c r="N35" i="9"/>
  <c r="N62" i="9" s="1"/>
  <c r="N63" i="9" s="1"/>
  <c r="N24" i="10" s="1"/>
  <c r="N25" i="2"/>
  <c r="N19" i="10" s="1"/>
  <c r="L25" i="2"/>
  <c r="L19" i="10" s="1"/>
  <c r="L21" i="10" s="1"/>
  <c r="L25" i="10" s="1"/>
  <c r="L27" i="10" s="1"/>
  <c r="N10" i="10"/>
  <c r="M10" i="10"/>
  <c r="M24" i="2"/>
  <c r="M25" i="2" l="1"/>
  <c r="M19" i="10" s="1"/>
  <c r="M21" i="10" s="1"/>
  <c r="M25" i="10" s="1"/>
  <c r="M27" i="10" s="1"/>
  <c r="L29" i="2"/>
  <c r="N29" i="2"/>
  <c r="N11" i="10"/>
  <c r="N16" i="10"/>
  <c r="M9" i="14" s="1"/>
  <c r="N21" i="10"/>
  <c r="N25" i="10" s="1"/>
  <c r="M16" i="10"/>
  <c r="M17" i="10" s="1"/>
  <c r="M11" i="10"/>
  <c r="K38" i="10" l="1"/>
  <c r="K41" i="10" s="1"/>
  <c r="K42" i="10" s="1"/>
  <c r="M13" i="14"/>
  <c r="N27" i="10"/>
  <c r="M29" i="2"/>
  <c r="K34" i="10"/>
  <c r="N17" i="10"/>
  <c r="H33" i="10" l="1"/>
  <c r="H34" i="10" s="1"/>
  <c r="M10" i="14"/>
  <c r="M16" i="14"/>
  <c r="H32" i="10"/>
  <c r="J7" i="14"/>
  <c r="K35" i="10"/>
  <c r="M17" i="14" l="1"/>
  <c r="J8" i="14"/>
  <c r="J9" i="14" s="1"/>
  <c r="J10" i="14" s="1"/>
  <c r="J13" i="14" s="1"/>
  <c r="J15" i="14" s="1"/>
  <c r="J17" i="14" s="1"/>
  <c r="H35" i="10"/>
  <c r="H38" i="10" s="1"/>
  <c r="H40" i="10" s="1"/>
  <c r="C63" i="10" l="1"/>
  <c r="C48" i="10"/>
  <c r="H4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Anshul Rana</author>
    <author>tc={AA09B2FC-91A7-4B58-8F30-D60FA9ADBE69}</author>
  </authors>
  <commentList>
    <comment ref="J9" authorId="0" shapeId="0" xr:uid="{1A8FE818-9A51-4D14-BA81-4FA4DC9FF59B}">
      <text>
        <r>
          <rPr>
            <b/>
            <sz val="9"/>
            <color indexed="81"/>
            <rFont val="Tahoma"/>
            <family val="2"/>
          </rPr>
          <t>Anshul Rana:</t>
        </r>
        <r>
          <rPr>
            <sz val="9"/>
            <color indexed="81"/>
            <rFont val="Tahoma"/>
            <family val="2"/>
          </rPr>
          <t xml:space="preserve">
The JV Revenue is based on a linear regression model where the independent variable is total revenue</t>
        </r>
      </text>
    </comment>
    <comment ref="E11" authorId="1" shapeId="0" xr:uid="{AA09B2FC-91A7-4B58-8F30-D60FA9ADBE6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Reporting standards changed for minority interest, original could count their revenue as part of your own</t>
      </text>
    </comment>
  </commentList>
</comments>
</file>

<file path=xl/sharedStrings.xml><?xml version="1.0" encoding="utf-8"?>
<sst xmlns="http://schemas.openxmlformats.org/spreadsheetml/2006/main" count="1006" uniqueCount="456">
  <si>
    <t>Revenue Build</t>
  </si>
  <si>
    <t>TIGO</t>
  </si>
  <si>
    <t>In Millions of USD except Per Share</t>
  </si>
  <si>
    <t>FY 2015</t>
  </si>
  <si>
    <t>FY 2016</t>
  </si>
  <si>
    <t>FY 2017</t>
  </si>
  <si>
    <t>FY 2018</t>
  </si>
  <si>
    <t>FY 2019</t>
  </si>
  <si>
    <t>FY 2020P</t>
  </si>
  <si>
    <t>FY 2021P</t>
  </si>
  <si>
    <t>FY 2022P</t>
  </si>
  <si>
    <t>FY 2023P</t>
  </si>
  <si>
    <t>FY 2024P</t>
  </si>
  <si>
    <t>12 Months Ending</t>
  </si>
  <si>
    <t>12/31/2017</t>
  </si>
  <si>
    <t>12/31/2018</t>
  </si>
  <si>
    <t>12/31/2019</t>
  </si>
  <si>
    <t>12/31/2020</t>
  </si>
  <si>
    <t>12/31/2021</t>
  </si>
  <si>
    <t>12/31/2022</t>
  </si>
  <si>
    <t>12/31/2023</t>
  </si>
  <si>
    <t xml:space="preserve"> 12/31/2024</t>
  </si>
  <si>
    <t>Total Revenue</t>
  </si>
  <si>
    <t>% Growth</t>
  </si>
  <si>
    <t>Revenue Attributable to JV's</t>
  </si>
  <si>
    <t>Revenue Attributable to TIGO</t>
  </si>
  <si>
    <t>Latin America</t>
  </si>
  <si>
    <t>Mobile Revenue</t>
  </si>
  <si>
    <t>ARPU</t>
  </si>
  <si>
    <t>Bolivia</t>
  </si>
  <si>
    <t>Customers</t>
  </si>
  <si>
    <t>Columbia</t>
  </si>
  <si>
    <t>El Salvador</t>
  </si>
  <si>
    <t>Guatemala</t>
  </si>
  <si>
    <t>Panama</t>
  </si>
  <si>
    <t>Honduras</t>
  </si>
  <si>
    <t>Nicaragua</t>
  </si>
  <si>
    <t>Paraguay</t>
  </si>
  <si>
    <t>Home Revenue</t>
  </si>
  <si>
    <t>Total Homes Passed</t>
  </si>
  <si>
    <t>Total Customer Relationships</t>
  </si>
  <si>
    <t>Home ARPU</t>
  </si>
  <si>
    <t>Customer Relationships / Homes Passed</t>
  </si>
  <si>
    <t>Cable and Other Revenue</t>
  </si>
  <si>
    <t>Africa</t>
  </si>
  <si>
    <t>Tanzania</t>
  </si>
  <si>
    <t>Assumptions</t>
  </si>
  <si>
    <t>Case</t>
  </si>
  <si>
    <t>Bear</t>
  </si>
  <si>
    <t>Latin America Mobile ARPU</t>
  </si>
  <si>
    <t>Base</t>
  </si>
  <si>
    <t>Bull</t>
  </si>
  <si>
    <t>Latin America Home ARPU</t>
  </si>
  <si>
    <t>Africa Mobile ARPU</t>
  </si>
  <si>
    <t>Income Statement</t>
  </si>
  <si>
    <t>COGS</t>
  </si>
  <si>
    <t>% Revenue</t>
  </si>
  <si>
    <t>Gross Profit</t>
  </si>
  <si>
    <t>% Margin</t>
  </si>
  <si>
    <t>Operating Expenses</t>
  </si>
  <si>
    <t xml:space="preserve">    SG&amp;A</t>
  </si>
  <si>
    <t xml:space="preserve">    % Revenue</t>
  </si>
  <si>
    <t xml:space="preserve">    D&amp;A</t>
  </si>
  <si>
    <t xml:space="preserve">    Other Operating Expense/(Income)</t>
  </si>
  <si>
    <t>EBIT (Operating Income)</t>
  </si>
  <si>
    <t>Non-Operating Income (Expense)</t>
  </si>
  <si>
    <t>Net Interest Expense</t>
  </si>
  <si>
    <t>Net Unusual Expense</t>
  </si>
  <si>
    <t>Pre-Tax Income</t>
  </si>
  <si>
    <t>Income Tax Expense (Benefit)</t>
  </si>
  <si>
    <t>Effective Tax Rate</t>
  </si>
  <si>
    <t>Earnings from Discontinued Operations</t>
  </si>
  <si>
    <t>Minority Interest in Earnings</t>
  </si>
  <si>
    <t>Net Income (GAAP)</t>
  </si>
  <si>
    <t>Balance Sheet</t>
  </si>
  <si>
    <t>Assets</t>
  </si>
  <si>
    <t>Cash/Cash Equivalents &amp; Short-Term Investments</t>
  </si>
  <si>
    <t>Accounts Receivables (Total)</t>
  </si>
  <si>
    <t>Inventories</t>
  </si>
  <si>
    <t>Prepaid Expenses</t>
  </si>
  <si>
    <t>Other Current Assets</t>
  </si>
  <si>
    <t xml:space="preserve">    % of Revenue</t>
  </si>
  <si>
    <t>Total Current Assets</t>
  </si>
  <si>
    <t>Net PP&amp;E</t>
  </si>
  <si>
    <t>Long-Term Investments</t>
  </si>
  <si>
    <t>Intangible Assets</t>
  </si>
  <si>
    <t>Deferred Tax Assets</t>
  </si>
  <si>
    <t>Other Long-Term Assets</t>
  </si>
  <si>
    <t>Total Assets</t>
  </si>
  <si>
    <t>Liabilities</t>
  </si>
  <si>
    <t>Accounts Payable</t>
  </si>
  <si>
    <t>Accrued Expenses</t>
  </si>
  <si>
    <t xml:space="preserve">    % of SG&amp;A</t>
  </si>
  <si>
    <t>Short-Term Debt</t>
  </si>
  <si>
    <t>Current Portion of Long-Term Debt/Leases</t>
  </si>
  <si>
    <t>Income Taxes Payable</t>
  </si>
  <si>
    <t>Unearned Revenue</t>
  </si>
  <si>
    <t>Other Current Liabilities</t>
  </si>
  <si>
    <t>Total Current Liabilities</t>
  </si>
  <si>
    <t>Long-Term Debt</t>
  </si>
  <si>
    <t>Long-Term Leases</t>
  </si>
  <si>
    <t>Other Long-Term Liabilites</t>
  </si>
  <si>
    <t>Total Liabilities</t>
  </si>
  <si>
    <t>Total Common Equity</t>
  </si>
  <si>
    <t>Minority Interest</t>
  </si>
  <si>
    <t>Total Shareholder's Equity</t>
  </si>
  <si>
    <t>Total Liabilities and Equity</t>
  </si>
  <si>
    <t>Cash Conversion Cycle</t>
  </si>
  <si>
    <t>Days of Inventory on Hand</t>
  </si>
  <si>
    <t>Days of Sales Outstanding</t>
  </si>
  <si>
    <t>Days of Payables Outstanding</t>
  </si>
  <si>
    <t>Changes in Net Working Capital</t>
  </si>
  <si>
    <t>Net Working Capital</t>
  </si>
  <si>
    <t>Changes in NWC</t>
  </si>
  <si>
    <t>Capex</t>
  </si>
  <si>
    <t xml:space="preserve">    </t>
  </si>
  <si>
    <t>% of Revenue</t>
  </si>
  <si>
    <t>Discounted Cash Flow Analysis</t>
  </si>
  <si>
    <t>Revenue</t>
  </si>
  <si>
    <t>EBIT</t>
  </si>
  <si>
    <t>Margin</t>
  </si>
  <si>
    <t>D&amp;A</t>
  </si>
  <si>
    <t>EBITDA</t>
  </si>
  <si>
    <t>Taxes</t>
  </si>
  <si>
    <t>NOPAT</t>
  </si>
  <si>
    <t>ULFCF</t>
  </si>
  <si>
    <t>Discounted Period</t>
  </si>
  <si>
    <t>Discounted FCF</t>
  </si>
  <si>
    <t>Summary</t>
  </si>
  <si>
    <t>Model Choice</t>
  </si>
  <si>
    <t>WACC</t>
  </si>
  <si>
    <t>Sum of PV</t>
  </si>
  <si>
    <t>Terminal Value</t>
  </si>
  <si>
    <t xml:space="preserve">Exit Multiple </t>
  </si>
  <si>
    <t>PV of TV</t>
  </si>
  <si>
    <t>Enterprise Value</t>
  </si>
  <si>
    <t>Implied Growth Rate</t>
  </si>
  <si>
    <t>(-) Net Debt</t>
  </si>
  <si>
    <t>(-) Minority Interest</t>
  </si>
  <si>
    <t>Equity Value</t>
  </si>
  <si>
    <t>Terminal Year FCF</t>
  </si>
  <si>
    <t>Diluted S/O</t>
  </si>
  <si>
    <t>Discount Rate</t>
  </si>
  <si>
    <t>Target Price</t>
  </si>
  <si>
    <t>Perpetuity Growth Rate</t>
  </si>
  <si>
    <t>Current Price</t>
  </si>
  <si>
    <t>Implied Upside</t>
  </si>
  <si>
    <t>Implied Exit Multiple</t>
  </si>
  <si>
    <t>Sensitivity Analysis</t>
  </si>
  <si>
    <t>EV / EBITDA</t>
  </si>
  <si>
    <t>Multiple</t>
  </si>
  <si>
    <t>Perpetuity</t>
  </si>
  <si>
    <t>Growth Rate</t>
  </si>
  <si>
    <t>Comparable Companies</t>
  </si>
  <si>
    <t xml:space="preserve">Diluted Shares </t>
  </si>
  <si>
    <t>Enterprise</t>
  </si>
  <si>
    <t>Company Name</t>
  </si>
  <si>
    <t>Price</t>
  </si>
  <si>
    <t>Outstanding</t>
  </si>
  <si>
    <t>Market Cap</t>
  </si>
  <si>
    <t>Value</t>
  </si>
  <si>
    <t>Sales</t>
  </si>
  <si>
    <t>Net Income</t>
  </si>
  <si>
    <t>EV/EBIT</t>
  </si>
  <si>
    <t>EV/EBITDA</t>
  </si>
  <si>
    <t>EV/Sales</t>
  </si>
  <si>
    <t>Millicom International Cellular S.A. (NasdaqGS:TIGO)</t>
  </si>
  <si>
    <t>Koninklijke KPN N.V. (ENXTAM:KPN)</t>
  </si>
  <si>
    <t>Tele2 AB (OM:TEL2 B)</t>
  </si>
  <si>
    <t>ProSiebenSat.1 Media SE (XTRA:PSM)</t>
  </si>
  <si>
    <t>Telia Company AB (OM:TELIA)</t>
  </si>
  <si>
    <t>iliad S.A. (ENXTPA:ILD)</t>
  </si>
  <si>
    <t>1&amp;1 Drillisch AG (XTRA:DRI)</t>
  </si>
  <si>
    <t>Liberty Latin America Ltd. (NasdaqGS:LILA)</t>
  </si>
  <si>
    <t>Airtel Africa Plc (LSE:AAF)</t>
  </si>
  <si>
    <t>Telefónica, S.A. (BME:TEF)</t>
  </si>
  <si>
    <t>América Móvil, S.A.B. de C.V. (BMV:AMX L)</t>
  </si>
  <si>
    <t>Metric</t>
  </si>
  <si>
    <t>Min</t>
  </si>
  <si>
    <t>Q1</t>
  </si>
  <si>
    <t>Median</t>
  </si>
  <si>
    <t>Q3</t>
  </si>
  <si>
    <t>Max</t>
  </si>
  <si>
    <t>Mean</t>
  </si>
  <si>
    <t>WACC - TIGO</t>
  </si>
  <si>
    <t>Equity Risk Premium</t>
  </si>
  <si>
    <t>Unit: (Millions of USD)</t>
  </si>
  <si>
    <t>Name</t>
  </si>
  <si>
    <t>Percent of Revenue</t>
  </si>
  <si>
    <t>Premium</t>
  </si>
  <si>
    <t>Colombia</t>
  </si>
  <si>
    <t>Discount Rate Calculations - Assumptions</t>
  </si>
  <si>
    <t>Risk-Free Rate:</t>
  </si>
  <si>
    <t>Pre-Tax Cost of Debt</t>
  </si>
  <si>
    <t>Costa Rica</t>
  </si>
  <si>
    <t>Blended ERP</t>
  </si>
  <si>
    <t xml:space="preserve">Comparable Companies </t>
  </si>
  <si>
    <t>Levered Beta</t>
  </si>
  <si>
    <t>Debt</t>
  </si>
  <si>
    <t>% Debt</t>
  </si>
  <si>
    <t>Preferred Stock</t>
  </si>
  <si>
    <t>% Preferred</t>
  </si>
  <si>
    <t>% Equity</t>
  </si>
  <si>
    <t xml:space="preserve">LTM Effective Tax Rate </t>
  </si>
  <si>
    <t>Unlevered Beta</t>
  </si>
  <si>
    <t>Tele2 AB (publ) (OM:TEL2 B)</t>
  </si>
  <si>
    <t>Telia Company AB (publ) (OM:TELIA)</t>
  </si>
  <si>
    <t>TIGO - Beta and WACC Calculations</t>
  </si>
  <si>
    <t>Tax Rate</t>
  </si>
  <si>
    <t>Current Capital Structure</t>
  </si>
  <si>
    <t>Target Capital Structure</t>
  </si>
  <si>
    <t>Cost of Equity Based on Comparables, Current Capital Structure</t>
  </si>
  <si>
    <t>Cost of Equity Based on Comparables, Target Capital Structure</t>
  </si>
  <si>
    <t>WACC, Current Capital Structure and Historical Cost of Equity</t>
  </si>
  <si>
    <t>WACC, Target Capital Structure</t>
  </si>
  <si>
    <t>Millicom International Cellular S.A. (NasdaqGS:TIGO) &gt; Financials &gt; Income Statement</t>
  </si>
  <si>
    <t>In Millions of the reported currency, except per share items.</t>
  </si>
  <si>
    <t>Template:</t>
  </si>
  <si>
    <t>Standard</t>
  </si>
  <si>
    <t> </t>
  </si>
  <si>
    <t>Restatement:</t>
  </si>
  <si>
    <t>Latest Filings</t>
  </si>
  <si>
    <t>Period Type:</t>
  </si>
  <si>
    <t>Annual</t>
  </si>
  <si>
    <t>Order:</t>
  </si>
  <si>
    <t>Latest on Right</t>
  </si>
  <si>
    <t>Currency:</t>
  </si>
  <si>
    <t>Reported Currency</t>
  </si>
  <si>
    <t>Conversion:</t>
  </si>
  <si>
    <t>Historical</t>
  </si>
  <si>
    <t>Units:</t>
  </si>
  <si>
    <t>S&amp;P Capital IQ (Default)</t>
  </si>
  <si>
    <t>Decimals:</t>
  </si>
  <si>
    <t>Capital IQ (Default)</t>
  </si>
  <si>
    <t>Source:</t>
  </si>
  <si>
    <t>Capital IQ &amp; Proprietary Data</t>
  </si>
  <si>
    <t xml:space="preserve">For the Fiscal Period Ending
</t>
  </si>
  <si>
    <t>Reclassified
12 months
Dec-31-2015</t>
  </si>
  <si>
    <t>Reclassified
12 months
Dec-31-2016</t>
  </si>
  <si>
    <t>Restated
12 months
Dec-31-2017</t>
  </si>
  <si>
    <t>Reclassified
12 months
Dec-31-2018</t>
  </si>
  <si>
    <t>12 months
Dec-31-2019</t>
  </si>
  <si>
    <t>LTM
12 months
Jun-30-2020</t>
  </si>
  <si>
    <t>Currency</t>
  </si>
  <si>
    <t>USD</t>
  </si>
  <si>
    <t xml:space="preserve"> </t>
  </si>
  <si>
    <t>Other Revenue</t>
  </si>
  <si>
    <t>-</t>
  </si>
  <si>
    <t xml:space="preserve">  Total Revenue</t>
  </si>
  <si>
    <t>Cost Of Goods Sold</t>
  </si>
  <si>
    <t xml:space="preserve">  Gross Profit</t>
  </si>
  <si>
    <t>Selling General &amp; Admin Exp.</t>
  </si>
  <si>
    <t>R &amp; D Exp.</t>
  </si>
  <si>
    <t>Depreciation &amp; Amort.</t>
  </si>
  <si>
    <t>Amort. of Goodwill and Intangibles</t>
  </si>
  <si>
    <t>Other Operating Expense/(Income)</t>
  </si>
  <si>
    <t xml:space="preserve">  Other Operating Exp., Total</t>
  </si>
  <si>
    <t xml:space="preserve">  Operating Income</t>
  </si>
  <si>
    <t>Interest Expense</t>
  </si>
  <si>
    <t>Interest and Invest. Income</t>
  </si>
  <si>
    <t xml:space="preserve">  Net Interest Exp.</t>
  </si>
  <si>
    <t>Income/(Loss) from Affiliates</t>
  </si>
  <si>
    <t>Currency Exchange Gains (Loss)</t>
  </si>
  <si>
    <t>Other Non-Operating Inc. (Exp.)</t>
  </si>
  <si>
    <t xml:space="preserve">  EBT Excl. Unusual Items</t>
  </si>
  <si>
    <t>Merger &amp; Related Restruct. Charges</t>
  </si>
  <si>
    <t>Impairment of Goodwill</t>
  </si>
  <si>
    <t>Gain (Loss) On Sale Of Invest.</t>
  </si>
  <si>
    <t>Gain (Loss) On Sale Of Assets</t>
  </si>
  <si>
    <t>Asset Writedown</t>
  </si>
  <si>
    <t>Other Unusual Items</t>
  </si>
  <si>
    <t xml:space="preserve">  EBT Incl. Unusual Items</t>
  </si>
  <si>
    <t>Income Tax Expense</t>
  </si>
  <si>
    <t xml:space="preserve">  Earnings from Cont. Ops.</t>
  </si>
  <si>
    <t>Earnings of Discontinued Ops.</t>
  </si>
  <si>
    <t>Extraord. Item &amp; Account. Change</t>
  </si>
  <si>
    <t xml:space="preserve">  Net Income to Company</t>
  </si>
  <si>
    <t>Minority Int. in Earnings</t>
  </si>
  <si>
    <t xml:space="preserve">  Net Income</t>
  </si>
  <si>
    <t>Pref. Dividends and Other Adj.</t>
  </si>
  <si>
    <t xml:space="preserve">  NI to Common Incl Extra Items</t>
  </si>
  <si>
    <t xml:space="preserve">  NI to Common Excl. Extra Items</t>
  </si>
  <si>
    <t>Per Share Items</t>
  </si>
  <si>
    <t>Basic EPS</t>
  </si>
  <si>
    <t>Basic EPS Excl. Extra Items</t>
  </si>
  <si>
    <t>Weighted Avg. Basic Shares Out.</t>
  </si>
  <si>
    <t>Diluted EPS</t>
  </si>
  <si>
    <t>Diluted EPS Excl. Extra Items</t>
  </si>
  <si>
    <t>Weighted Avg. Diluted Shares Out.</t>
  </si>
  <si>
    <t>Normalized Basic EPS</t>
  </si>
  <si>
    <t>Normalized Diluted EPS</t>
  </si>
  <si>
    <t>Dividends per Share</t>
  </si>
  <si>
    <t>Payout Ratio %</t>
  </si>
  <si>
    <t>NM</t>
  </si>
  <si>
    <t>Shares per Depository Receipt</t>
  </si>
  <si>
    <t>Supplemental Items</t>
  </si>
  <si>
    <t>EBITA</t>
  </si>
  <si>
    <t>EBITDAR</t>
  </si>
  <si>
    <t>NA</t>
  </si>
  <si>
    <t>Effective Tax Rate %</t>
  </si>
  <si>
    <t>Current Foreign Taxes</t>
  </si>
  <si>
    <t>Total Current Taxes</t>
  </si>
  <si>
    <t>Deferred Foreign Taxes</t>
  </si>
  <si>
    <t>Total Deferred Taxes</t>
  </si>
  <si>
    <t>Normalized Net Income</t>
  </si>
  <si>
    <t>Interest on Long Term Debt</t>
  </si>
  <si>
    <t>Filing Date</t>
  </si>
  <si>
    <t>Restatement Type</t>
  </si>
  <si>
    <t>RD</t>
  </si>
  <si>
    <t>RS</t>
  </si>
  <si>
    <t>O</t>
  </si>
  <si>
    <t>Calculation Type</t>
  </si>
  <si>
    <t>REP</t>
  </si>
  <si>
    <t>LTM</t>
  </si>
  <si>
    <t>Supplemental Operating Expense Items</t>
  </si>
  <si>
    <t>Marketing Exp.</t>
  </si>
  <si>
    <t>Selling and Marketing Exp.</t>
  </si>
  <si>
    <t>Net Rental Exp.</t>
  </si>
  <si>
    <t>Imputed Oper. Lease Interest Exp.</t>
  </si>
  <si>
    <t>Imputed Oper. Lease Depreciation</t>
  </si>
  <si>
    <t>Stock-Based Comp., Unallocated</t>
  </si>
  <si>
    <t xml:space="preserve">  Stock-Based Comp., Total</t>
  </si>
  <si>
    <t>Note: For multiple class companies, per share items are primary class equivalent, and for foreign companies listed as primary ADRs, per share items are ADR-equivalent.</t>
  </si>
  <si>
    <t xml:space="preserve">
               </t>
  </si>
  <si>
    <t>Millicom International Cellular S.A. (NasdaqGS:TIGO) &gt; Financials &gt; Balance Sheet</t>
  </si>
  <si>
    <t xml:space="preserve">Balance Sheet as of:
</t>
  </si>
  <si>
    <t>Restated
Dec-31-2015</t>
  </si>
  <si>
    <t>Reclassified
Dec-31-2016</t>
  </si>
  <si>
    <t>Restated
Dec-31-2017</t>
  </si>
  <si>
    <t>Restated
Dec-31-2018</t>
  </si>
  <si>
    <t>ASSETS</t>
  </si>
  <si>
    <t>Cash And Equivalents</t>
  </si>
  <si>
    <t>Short Term Investments</t>
  </si>
  <si>
    <t>Trading Asset Securities</t>
  </si>
  <si>
    <t xml:space="preserve">  Total Cash &amp; ST Investments</t>
  </si>
  <si>
    <t>Accounts Receivable</t>
  </si>
  <si>
    <t>Other Receivables</t>
  </si>
  <si>
    <t>Notes Receivable</t>
  </si>
  <si>
    <t xml:space="preserve">  Total Receivables</t>
  </si>
  <si>
    <t>Inventory</t>
  </si>
  <si>
    <t>Prepaid Exp.</t>
  </si>
  <si>
    <t>Restricted Cash</t>
  </si>
  <si>
    <t xml:space="preserve">  Total Current Assets</t>
  </si>
  <si>
    <t>Gross Property, Plant &amp; Equipment</t>
  </si>
  <si>
    <t>Accumulated Depreciation</t>
  </si>
  <si>
    <t xml:space="preserve">  Net Property, Plant &amp; Equipment</t>
  </si>
  <si>
    <t>Long-term Investments</t>
  </si>
  <si>
    <t>Goodwill</t>
  </si>
  <si>
    <t>Other Intangibles</t>
  </si>
  <si>
    <t>Loans Receivable Long-Term</t>
  </si>
  <si>
    <t>Deferred Tax Assets, LT</t>
  </si>
  <si>
    <t>Deferred Charges, LT</t>
  </si>
  <si>
    <t>LIABILITIES</t>
  </si>
  <si>
    <t>Accrued Exp.</t>
  </si>
  <si>
    <t>Short-term Borrowings</t>
  </si>
  <si>
    <t>Curr. Port. of LT Debt</t>
  </si>
  <si>
    <t>Curr. Port. of Leases</t>
  </si>
  <si>
    <t>Curr. Income Taxes Payable</t>
  </si>
  <si>
    <t>Unearned Revenue, Current</t>
  </si>
  <si>
    <t xml:space="preserve">  Total Current Liabilities</t>
  </si>
  <si>
    <t>Unearned Revenue, Non-Current</t>
  </si>
  <si>
    <t>Def. Tax Liability, Non-Curr.</t>
  </si>
  <si>
    <t>Other Non-Current Liabilities</t>
  </si>
  <si>
    <t>Common Stock</t>
  </si>
  <si>
    <t>Additional Paid In Capital</t>
  </si>
  <si>
    <t>Retained Earnings</t>
  </si>
  <si>
    <t>Treasury Stock</t>
  </si>
  <si>
    <t>Comprehensive Inc. and Other</t>
  </si>
  <si>
    <t xml:space="preserve">  Total Common Equity</t>
  </si>
  <si>
    <t>Total Equity</t>
  </si>
  <si>
    <t>Total Liabilities And Equity</t>
  </si>
  <si>
    <t>Total Shares Out. on Filing Date</t>
  </si>
  <si>
    <t>Total Shares Out. on Balance Sheet Date</t>
  </si>
  <si>
    <t>Book Value/Share</t>
  </si>
  <si>
    <t>Tangible Book Value</t>
  </si>
  <si>
    <t>Tangible Book Value/Share</t>
  </si>
  <si>
    <t>Total Debt</t>
  </si>
  <si>
    <t>Net Debt</t>
  </si>
  <si>
    <t>Debt Equivalent Oper. Leases</t>
  </si>
  <si>
    <t>Total Minority Interest</t>
  </si>
  <si>
    <t>Equity Method Investments</t>
  </si>
  <si>
    <t>Inventory Method</t>
  </si>
  <si>
    <t>FIFO</t>
  </si>
  <si>
    <t>Finished Goods Inventory</t>
  </si>
  <si>
    <t>Other Inventory Accounts</t>
  </si>
  <si>
    <t>Land</t>
  </si>
  <si>
    <t>Machinery</t>
  </si>
  <si>
    <t>Construction in Progress</t>
  </si>
  <si>
    <t>Full Time Employees</t>
  </si>
  <si>
    <t>Accum. Allowance for Doubtful Accts</t>
  </si>
  <si>
    <t>RC</t>
  </si>
  <si>
    <t>RUP</t>
  </si>
  <si>
    <t>Note: For multiple class companies, total share counts are primary class equivalent, and for foreign companies listed as primary ADRs, total share counts are ADR-equivalent.</t>
  </si>
  <si>
    <t>Millicom International Cellular S.A. (NasdaqGS:TIGO) &gt; Financials &gt; Cash Flow</t>
  </si>
  <si>
    <t>Cash Flow</t>
  </si>
  <si>
    <t>Depreciation &amp; Amort., Total</t>
  </si>
  <si>
    <t>(Gain) Loss From Sale Of Assets</t>
  </si>
  <si>
    <t>(Gain) Loss On Sale Of Invest.</t>
  </si>
  <si>
    <t>Asset Writedown &amp; Restructuring Costs</t>
  </si>
  <si>
    <t>(Income) Loss on Equity Invest.</t>
  </si>
  <si>
    <t>Stock-Based Compensation</t>
  </si>
  <si>
    <t>Net Cash From Discontinued Ops.</t>
  </si>
  <si>
    <t>Other Operating Activities</t>
  </si>
  <si>
    <t>Change in Acc. Receivable</t>
  </si>
  <si>
    <t>Change In Inventories</t>
  </si>
  <si>
    <t>Change in Acc. Payable</t>
  </si>
  <si>
    <t>Change in Other Net Operating Assets</t>
  </si>
  <si>
    <t xml:space="preserve">  Cash from Ops.</t>
  </si>
  <si>
    <t>Capital Expenditure</t>
  </si>
  <si>
    <t>Sale of Property, Plant, and Equipment</t>
  </si>
  <si>
    <t>Cash Acquisitions</t>
  </si>
  <si>
    <t>Divestitures</t>
  </si>
  <si>
    <t>Sale (Purchase) of Intangible assets</t>
  </si>
  <si>
    <t>Invest. in Marketable &amp; Equity Securt.</t>
  </si>
  <si>
    <t>Net (Inc.) Dec. in Loans Originated/Sold</t>
  </si>
  <si>
    <t>Other Investing Activities</t>
  </si>
  <si>
    <t xml:space="preserve">  Cash from Investing</t>
  </si>
  <si>
    <t>Short Term Debt Issued</t>
  </si>
  <si>
    <t>Long-Term Debt Issued</t>
  </si>
  <si>
    <t>Total Debt Issued</t>
  </si>
  <si>
    <t>Short Term Debt Repaid</t>
  </si>
  <si>
    <t>Long-Term Debt Repaid</t>
  </si>
  <si>
    <t>Total Debt Repaid</t>
  </si>
  <si>
    <t>Repurchase of Common Stock</t>
  </si>
  <si>
    <t>Common Dividends Paid</t>
  </si>
  <si>
    <t>Total Dividends Paid</t>
  </si>
  <si>
    <t>Special Dividend Paid</t>
  </si>
  <si>
    <t>Other Financing Activities</t>
  </si>
  <si>
    <t xml:space="preserve">  Cash from Financing</t>
  </si>
  <si>
    <t>Foreign Exchange Rate Adj.</t>
  </si>
  <si>
    <t>Misc. Cash Flow Adj.</t>
  </si>
  <si>
    <t xml:space="preserve">  Net Change in Cash</t>
  </si>
  <si>
    <t>Cash Interest Paid</t>
  </si>
  <si>
    <t>Cash Taxes Paid</t>
  </si>
  <si>
    <t>Levered Free Cash Flow</t>
  </si>
  <si>
    <t>Unlevered Free Cash Flow</t>
  </si>
  <si>
    <t>Change in Net Working Capital</t>
  </si>
  <si>
    <t>Net Debt Issued</t>
  </si>
  <si>
    <t>Net Cash From Discontinued Ops. - Investing</t>
  </si>
  <si>
    <t>Current Price:</t>
  </si>
  <si>
    <t>Shares Outstanding:</t>
  </si>
  <si>
    <t>Market Cap:</t>
  </si>
  <si>
    <t>Enterprise Value:</t>
  </si>
  <si>
    <t>Current Capitalization</t>
  </si>
  <si>
    <t>Selected Statistics</t>
  </si>
  <si>
    <t>EV / EBIT</t>
  </si>
  <si>
    <t>Exit Multiple Method - 1</t>
  </si>
  <si>
    <t>Perpetuity Growth Method - 2</t>
  </si>
  <si>
    <t>EV / Sales</t>
  </si>
  <si>
    <t>x</t>
  </si>
  <si>
    <t>Blended Tax Rate</t>
  </si>
  <si>
    <t>Date</t>
  </si>
  <si>
    <t>Close</t>
  </si>
  <si>
    <t>Volume (in thousands)</t>
  </si>
  <si>
    <t>Summary of Financials</t>
  </si>
  <si>
    <t>ARPU Assumptions ($ 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</si>
</sst>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;\(0.00\)"/>
    <numFmt numFmtId="165" formatCode="0.0%_);\(0.0%\)"/>
    <numFmt numFmtId="166" formatCode="_(* #,##0_);_(* \(#,##0\);_(* &quot;-&quot;??_);_(@_)"/>
    <numFmt numFmtId="167" formatCode="0.0%"/>
    <numFmt numFmtId="168" formatCode="_(* #,##0.0_);_(* \(#,##0.0\)_)\ ;_(* 0_)"/>
    <numFmt numFmtId="169" formatCode="mmm\-dd\-yyyy"/>
    <numFmt numFmtId="170" formatCode="_(#,##0.0%_);_(\(#,##0.0%\)_);_(#,##0.0%_)"/>
    <numFmt numFmtId="171" formatCode="_(* #,##0.0##_);_(* \(#,##0.0##\)_)\ ;_(* 0_)"/>
    <numFmt numFmtId="172" formatCode="_(&quot;$&quot;#,##0.0#_);_(\(&quot;$&quot;#,##0.0#\)_);_(&quot;$&quot;&quot; - &quot;_)"/>
    <numFmt numFmtId="173" formatCode="_(* #,##0.0#_);_(* \(#,##0.0#\)_)\ ;_(* 0_)"/>
    <numFmt numFmtId="174" formatCode="_(* #,##0_);_(* \(#,##0\)_)\ ;_(* 0_)"/>
    <numFmt numFmtId="175" formatCode="0.00%;\ \(0.00%\)"/>
    <numFmt numFmtId="176" formatCode="0.00%_);\(0.00%\)"/>
    <numFmt numFmtId="177" formatCode="0.0"/>
    <numFmt numFmtId="178" formatCode="#,##0.00,,"/>
    <numFmt numFmtId="179" formatCode="0.000%"/>
    <numFmt numFmtId="180" formatCode="#,##0.00&quot;x&quot;"/>
    <numFmt numFmtId="181" formatCode="###,###,##0.00\x"/>
    <numFmt numFmtId="182" formatCode="0.0000%"/>
    <numFmt numFmtId="183" formatCode=";;;"/>
  </numFmts>
  <fonts count="42" x14ac:knownFonts="1">
    <font>
      <sz val="12"/>
      <color theme="1"/>
      <name val="Garamond"/>
      <family val="2"/>
    </font>
    <font>
      <sz val="12"/>
      <color theme="1"/>
      <name val="Garamond"/>
      <family val="2"/>
    </font>
    <font>
      <b/>
      <sz val="10"/>
      <color indexed="9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u val="double"/>
      <sz val="8"/>
      <color indexed="8"/>
      <name val="Arial"/>
      <family val="2"/>
    </font>
    <font>
      <b/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b/>
      <sz val="8"/>
      <color indexed="9"/>
      <name val="Verdana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13"/>
      <color indexed="8"/>
      <name val="Verdana"/>
      <family val="2"/>
    </font>
    <font>
      <b/>
      <u/>
      <sz val="8"/>
      <color indexed="8"/>
      <name val="Arial"/>
      <family val="2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2"/>
      <color theme="0"/>
      <name val="Garamond"/>
      <family val="1"/>
    </font>
    <font>
      <sz val="12"/>
      <color rgb="FF0000FF"/>
      <name val="Garamond"/>
      <family val="1"/>
    </font>
    <font>
      <i/>
      <sz val="12"/>
      <color theme="1"/>
      <name val="Garamond"/>
      <family val="1"/>
    </font>
    <font>
      <sz val="12"/>
      <name val="Garamond"/>
      <family val="1"/>
    </font>
    <font>
      <b/>
      <i/>
      <sz val="11"/>
      <color theme="0"/>
      <name val="Garamond"/>
      <family val="1"/>
    </font>
    <font>
      <b/>
      <i/>
      <sz val="11"/>
      <color rgb="FF002060"/>
      <name val="Garamond"/>
      <family val="1"/>
    </font>
    <font>
      <sz val="12"/>
      <color rgb="FF009900"/>
      <name val="Garamond"/>
      <family val="1"/>
    </font>
    <font>
      <sz val="12"/>
      <color rgb="FF009900"/>
      <name val="Garamond"/>
      <family val="2"/>
    </font>
    <font>
      <i/>
      <sz val="12"/>
      <color rgb="FF0000FF"/>
      <name val="Garamond"/>
      <family val="1"/>
    </font>
    <font>
      <sz val="12"/>
      <color rgb="FF0000FF"/>
      <name val="Garamond"/>
      <family val="2"/>
    </font>
    <font>
      <sz val="12"/>
      <color theme="0"/>
      <name val="Garamond"/>
      <family val="1"/>
    </font>
    <font>
      <b/>
      <sz val="11"/>
      <color theme="0"/>
      <name val="Garamond"/>
      <family val="1"/>
    </font>
    <font>
      <sz val="11"/>
      <color theme="1"/>
      <name val="Garamond"/>
      <family val="1"/>
    </font>
    <font>
      <sz val="11"/>
      <color theme="0"/>
      <name val="Garamond"/>
      <family val="1"/>
    </font>
    <font>
      <b/>
      <sz val="11"/>
      <color theme="1"/>
      <name val="Garamond"/>
      <family val="1"/>
    </font>
    <font>
      <i/>
      <sz val="12"/>
      <color rgb="FF009900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theme="9"/>
      <name val="Garamond"/>
      <family val="1"/>
    </font>
    <font>
      <sz val="12"/>
      <color theme="9"/>
      <name val="Garamond"/>
      <family val="2"/>
    </font>
    <font>
      <sz val="11"/>
      <color rgb="FF000000"/>
      <name val="Calibri"/>
      <family val="2"/>
    </font>
    <font>
      <b/>
      <i/>
      <sz val="12"/>
      <color theme="0"/>
      <name val="Garamond"/>
      <family val="1"/>
    </font>
    <font>
      <b/>
      <i/>
      <sz val="12"/>
      <color rgb="FF002060"/>
      <name val="Garamond"/>
      <family val="1"/>
    </font>
    <font>
      <b/>
      <sz val="12"/>
      <color rgb="FF000000"/>
      <name val="Garamond"/>
      <family val="2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2">
      <alignment horizontal="right"/>
    </xf>
    <xf numFmtId="0" fontId="2" fillId="2" borderId="3">
      <alignment horizontal="right"/>
    </xf>
    <xf numFmtId="0" fontId="3" fillId="0" borderId="0"/>
    <xf numFmtId="0" fontId="4" fillId="0" borderId="0"/>
    <xf numFmtId="0" fontId="10" fillId="0" borderId="0" applyAlignment="0"/>
    <xf numFmtId="44" fontId="1" fillId="0" borderId="0" applyFont="0" applyFill="0" applyBorder="0" applyAlignment="0" applyProtection="0"/>
    <xf numFmtId="0" fontId="38" fillId="0" borderId="0">
      <alignment horizontal="left" vertical="center"/>
    </xf>
    <xf numFmtId="0" fontId="38" fillId="0" borderId="0">
      <alignment horizontal="left" vertical="center"/>
    </xf>
  </cellStyleXfs>
  <cellXfs count="405">
    <xf numFmtId="0" fontId="0" fillId="0" borderId="0" xfId="0"/>
    <xf numFmtId="0" fontId="5" fillId="0" borderId="0" xfId="6" applyFont="1"/>
    <xf numFmtId="0" fontId="6" fillId="0" borderId="0" xfId="6" applyFont="1" applyAlignment="1">
      <alignment horizontal="center" vertical="center"/>
    </xf>
    <xf numFmtId="0" fontId="5" fillId="0" borderId="0" xfId="6" applyFont="1" applyAlignment="1">
      <alignment vertical="top" wrapText="1"/>
    </xf>
    <xf numFmtId="0" fontId="6" fillId="0" borderId="0" xfId="6" applyFont="1" applyAlignment="1">
      <alignment horizontal="left" vertical="top"/>
    </xf>
    <xf numFmtId="168" fontId="7" fillId="0" borderId="0" xfId="6" applyNumberFormat="1" applyFont="1" applyAlignment="1">
      <alignment horizontal="right" vertical="top" wrapText="1"/>
    </xf>
    <xf numFmtId="0" fontId="7" fillId="0" borderId="0" xfId="6" applyFont="1" applyAlignment="1">
      <alignment horizontal="left" vertical="top"/>
    </xf>
    <xf numFmtId="168" fontId="6" fillId="0" borderId="0" xfId="6" applyNumberFormat="1" applyFont="1" applyAlignment="1">
      <alignment horizontal="right" vertical="top" wrapText="1"/>
    </xf>
    <xf numFmtId="49" fontId="6" fillId="0" borderId="0" xfId="6" applyNumberFormat="1" applyFont="1" applyAlignment="1">
      <alignment horizontal="right" vertical="top" wrapText="1"/>
    </xf>
    <xf numFmtId="169" fontId="6" fillId="0" borderId="0" xfId="6" applyNumberFormat="1" applyFont="1" applyAlignment="1">
      <alignment horizontal="right" vertical="top" wrapText="1"/>
    </xf>
    <xf numFmtId="170" fontId="6" fillId="0" borderId="0" xfId="6" applyNumberFormat="1" applyFont="1" applyAlignment="1">
      <alignment horizontal="right" vertical="top" wrapText="1"/>
    </xf>
    <xf numFmtId="171" fontId="6" fillId="0" borderId="0" xfId="6" applyNumberFormat="1" applyFont="1" applyAlignment="1">
      <alignment horizontal="right" vertical="top" wrapText="1"/>
    </xf>
    <xf numFmtId="172" fontId="6" fillId="0" borderId="0" xfId="6" applyNumberFormat="1" applyFont="1" applyAlignment="1">
      <alignment horizontal="right" vertical="top" wrapText="1"/>
    </xf>
    <xf numFmtId="173" fontId="6" fillId="0" borderId="0" xfId="6" applyNumberFormat="1" applyFont="1" applyAlignment="1">
      <alignment horizontal="right" vertical="top" wrapText="1"/>
    </xf>
    <xf numFmtId="168" fontId="8" fillId="0" borderId="4" xfId="6" applyNumberFormat="1" applyFont="1" applyBorder="1" applyAlignment="1">
      <alignment horizontal="right" vertical="top" wrapText="1"/>
    </xf>
    <xf numFmtId="168" fontId="7" fillId="0" borderId="4" xfId="6" applyNumberFormat="1" applyFont="1" applyBorder="1" applyAlignment="1">
      <alignment horizontal="right" vertical="top" wrapText="1"/>
    </xf>
    <xf numFmtId="0" fontId="9" fillId="3" borderId="0" xfId="6" applyFont="1" applyFill="1" applyAlignment="1">
      <alignment horizontal="right" wrapText="1"/>
    </xf>
    <xf numFmtId="0" fontId="9" fillId="3" borderId="0" xfId="6" applyFont="1" applyFill="1" applyAlignment="1">
      <alignment wrapText="1"/>
    </xf>
    <xf numFmtId="0" fontId="7" fillId="3" borderId="0" xfId="6" applyFont="1" applyFill="1" applyAlignment="1">
      <alignment horizontal="right" wrapText="1"/>
    </xf>
    <xf numFmtId="0" fontId="7" fillId="3" borderId="0" xfId="6" applyFont="1" applyFill="1" applyAlignment="1">
      <alignment wrapText="1"/>
    </xf>
    <xf numFmtId="0" fontId="10" fillId="0" borderId="0" xfId="7" applyAlignment="1"/>
    <xf numFmtId="0" fontId="11" fillId="4" borderId="0" xfId="6" applyFont="1" applyFill="1"/>
    <xf numFmtId="0" fontId="6" fillId="0" borderId="0" xfId="6" applyFont="1" applyAlignment="1">
      <alignment horizontal="left" vertical="center"/>
    </xf>
    <xf numFmtId="0" fontId="12" fillId="0" borderId="0" xfId="6" applyFont="1"/>
    <xf numFmtId="49" fontId="5" fillId="0" borderId="0" xfId="6" applyNumberFormat="1" applyFont="1"/>
    <xf numFmtId="0" fontId="13" fillId="0" borderId="0" xfId="6" applyFont="1" applyAlignment="1">
      <alignment wrapText="1"/>
    </xf>
    <xf numFmtId="0" fontId="14" fillId="0" borderId="0" xfId="6" applyFont="1"/>
    <xf numFmtId="174" fontId="6" fillId="0" borderId="0" xfId="6" applyNumberFormat="1" applyFont="1" applyAlignment="1">
      <alignment horizontal="right" vertical="top" wrapText="1"/>
    </xf>
    <xf numFmtId="168" fontId="8" fillId="0" borderId="0" xfId="6" applyNumberFormat="1" applyFont="1" applyAlignment="1">
      <alignment horizontal="right" vertical="top" wrapText="1"/>
    </xf>
    <xf numFmtId="168" fontId="15" fillId="0" borderId="0" xfId="6" applyNumberFormat="1" applyFont="1" applyAlignment="1">
      <alignment horizontal="right" vertical="top" wrapText="1"/>
    </xf>
    <xf numFmtId="169" fontId="7" fillId="3" borderId="0" xfId="6" applyNumberFormat="1" applyFont="1" applyFill="1" applyAlignment="1">
      <alignment horizontal="right" wrapText="1"/>
    </xf>
    <xf numFmtId="0" fontId="6" fillId="0" borderId="0" xfId="6" applyFont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16" fillId="0" borderId="1" xfId="0" applyFont="1" applyBorder="1"/>
    <xf numFmtId="0" fontId="16" fillId="0" borderId="0" xfId="0" applyFont="1" applyBorder="1"/>
    <xf numFmtId="43" fontId="19" fillId="0" borderId="0" xfId="0" applyNumberFormat="1" applyFont="1" applyBorder="1"/>
    <xf numFmtId="43" fontId="16" fillId="0" borderId="0" xfId="0" applyNumberFormat="1" applyFont="1" applyBorder="1"/>
    <xf numFmtId="0" fontId="16" fillId="0" borderId="0" xfId="0" applyFont="1" applyBorder="1" applyAlignment="1">
      <alignment horizontal="left" indent="2"/>
    </xf>
    <xf numFmtId="0" fontId="20" fillId="0" borderId="0" xfId="0" applyFont="1" applyBorder="1" applyAlignment="1">
      <alignment horizontal="left" indent="2"/>
    </xf>
    <xf numFmtId="165" fontId="16" fillId="0" borderId="0" xfId="0" applyNumberFormat="1" applyFont="1" applyBorder="1"/>
    <xf numFmtId="166" fontId="16" fillId="0" borderId="0" xfId="0" applyNumberFormat="1" applyFont="1" applyBorder="1"/>
    <xf numFmtId="43" fontId="21" fillId="0" borderId="0" xfId="1" applyFont="1" applyBorder="1"/>
    <xf numFmtId="165" fontId="21" fillId="0" borderId="0" xfId="0" applyNumberFormat="1" applyFont="1" applyBorder="1"/>
    <xf numFmtId="167" fontId="19" fillId="0" borderId="0" xfId="2" applyNumberFormat="1" applyFont="1" applyBorder="1"/>
    <xf numFmtId="9" fontId="19" fillId="0" borderId="0" xfId="2" applyFont="1" applyBorder="1"/>
    <xf numFmtId="0" fontId="22" fillId="5" borderId="5" xfId="0" applyFont="1" applyFill="1" applyBorder="1"/>
    <xf numFmtId="0" fontId="23" fillId="5" borderId="5" xfId="0" applyFont="1" applyFill="1" applyBorder="1"/>
    <xf numFmtId="164" fontId="18" fillId="5" borderId="0" xfId="3" applyNumberFormat="1" applyFont="1" applyFill="1" applyBorder="1">
      <alignment horizontal="right"/>
    </xf>
    <xf numFmtId="14" fontId="18" fillId="5" borderId="0" xfId="3" applyNumberFormat="1" applyFont="1" applyFill="1" applyBorder="1">
      <alignment horizontal="right"/>
    </xf>
    <xf numFmtId="164" fontId="18" fillId="5" borderId="0" xfId="3" applyNumberFormat="1" applyFont="1" applyFill="1" applyBorder="1" applyAlignment="1">
      <alignment horizontal="left"/>
    </xf>
    <xf numFmtId="164" fontId="18" fillId="5" borderId="6" xfId="3" applyNumberFormat="1" applyFont="1" applyFill="1" applyBorder="1">
      <alignment horizontal="right"/>
    </xf>
    <xf numFmtId="164" fontId="18" fillId="5" borderId="7" xfId="3" applyNumberFormat="1" applyFont="1" applyFill="1" applyBorder="1">
      <alignment horizontal="right"/>
    </xf>
    <xf numFmtId="0" fontId="16" fillId="5" borderId="8" xfId="0" applyFont="1" applyFill="1" applyBorder="1"/>
    <xf numFmtId="164" fontId="18" fillId="5" borderId="9" xfId="3" applyNumberFormat="1" applyFont="1" applyFill="1" applyBorder="1">
      <alignment horizontal="right"/>
    </xf>
    <xf numFmtId="2" fontId="16" fillId="0" borderId="0" xfId="0" applyNumberFormat="1" applyFont="1" applyBorder="1"/>
    <xf numFmtId="0" fontId="20" fillId="0" borderId="0" xfId="0" applyFont="1" applyBorder="1"/>
    <xf numFmtId="175" fontId="20" fillId="0" borderId="0" xfId="2" applyNumberFormat="1" applyFont="1" applyBorder="1"/>
    <xf numFmtId="0" fontId="16" fillId="0" borderId="0" xfId="0" applyFont="1" applyFill="1" applyBorder="1"/>
    <xf numFmtId="175" fontId="20" fillId="0" borderId="10" xfId="2" applyNumberFormat="1" applyFont="1" applyBorder="1"/>
    <xf numFmtId="43" fontId="19" fillId="0" borderId="10" xfId="0" applyNumberFormat="1" applyFont="1" applyBorder="1"/>
    <xf numFmtId="0" fontId="20" fillId="0" borderId="11" xfId="0" applyFont="1" applyBorder="1"/>
    <xf numFmtId="0" fontId="16" fillId="0" borderId="11" xfId="0" applyFont="1" applyBorder="1"/>
    <xf numFmtId="175" fontId="20" fillId="0" borderId="11" xfId="2" applyNumberFormat="1" applyFont="1" applyBorder="1"/>
    <xf numFmtId="175" fontId="20" fillId="0" borderId="12" xfId="2" applyNumberFormat="1" applyFont="1" applyBorder="1"/>
    <xf numFmtId="0" fontId="16" fillId="0" borderId="13" xfId="0" applyFont="1" applyBorder="1"/>
    <xf numFmtId="2" fontId="16" fillId="0" borderId="13" xfId="0" applyNumberFormat="1" applyFont="1" applyBorder="1"/>
    <xf numFmtId="43" fontId="19" fillId="0" borderId="11" xfId="0" applyNumberFormat="1" applyFont="1" applyBorder="1"/>
    <xf numFmtId="43" fontId="19" fillId="0" borderId="12" xfId="0" applyNumberFormat="1" applyFont="1" applyBorder="1"/>
    <xf numFmtId="43" fontId="16" fillId="0" borderId="13" xfId="0" applyNumberFormat="1" applyFont="1" applyBorder="1"/>
    <xf numFmtId="43" fontId="16" fillId="0" borderId="14" xfId="0" applyNumberFormat="1" applyFont="1" applyBorder="1"/>
    <xf numFmtId="0" fontId="16" fillId="0" borderId="11" xfId="0" applyFont="1" applyFill="1" applyBorder="1"/>
    <xf numFmtId="0" fontId="18" fillId="5" borderId="8" xfId="0" applyFont="1" applyFill="1" applyBorder="1"/>
    <xf numFmtId="0" fontId="17" fillId="0" borderId="0" xfId="0" applyFont="1" applyBorder="1"/>
    <xf numFmtId="0" fontId="23" fillId="5" borderId="6" xfId="0" applyFont="1" applyFill="1" applyBorder="1"/>
    <xf numFmtId="43" fontId="0" fillId="0" borderId="0" xfId="0" applyNumberFormat="1"/>
    <xf numFmtId="43" fontId="16" fillId="0" borderId="0" xfId="0" applyNumberFormat="1" applyFont="1" applyFill="1" applyBorder="1"/>
    <xf numFmtId="0" fontId="17" fillId="0" borderId="1" xfId="0" applyFont="1" applyBorder="1"/>
    <xf numFmtId="43" fontId="24" fillId="0" borderId="0" xfId="0" applyNumberFormat="1" applyFont="1" applyBorder="1"/>
    <xf numFmtId="167" fontId="0" fillId="0" borderId="0" xfId="2" applyNumberFormat="1" applyFont="1"/>
    <xf numFmtId="0" fontId="0" fillId="0" borderId="8" xfId="0" applyBorder="1"/>
    <xf numFmtId="0" fontId="0" fillId="0" borderId="0" xfId="0" applyBorder="1"/>
    <xf numFmtId="43" fontId="0" fillId="0" borderId="0" xfId="0" applyNumberFormat="1" applyBorder="1"/>
    <xf numFmtId="43" fontId="0" fillId="0" borderId="9" xfId="0" applyNumberFormat="1" applyBorder="1"/>
    <xf numFmtId="0" fontId="0" fillId="0" borderId="16" xfId="0" applyBorder="1"/>
    <xf numFmtId="0" fontId="0" fillId="0" borderId="1" xfId="0" applyBorder="1"/>
    <xf numFmtId="43" fontId="24" fillId="0" borderId="1" xfId="0" applyNumberFormat="1" applyFont="1" applyBorder="1"/>
    <xf numFmtId="43" fontId="0" fillId="0" borderId="1" xfId="0" applyNumberFormat="1" applyBorder="1"/>
    <xf numFmtId="43" fontId="0" fillId="0" borderId="17" xfId="0" applyNumberFormat="1" applyBorder="1"/>
    <xf numFmtId="164" fontId="18" fillId="5" borderId="18" xfId="3" applyNumberFormat="1" applyFont="1" applyFill="1" applyBorder="1">
      <alignment horizontal="right"/>
    </xf>
    <xf numFmtId="43" fontId="24" fillId="0" borderId="10" xfId="0" applyNumberFormat="1" applyFont="1" applyBorder="1"/>
    <xf numFmtId="43" fontId="24" fillId="0" borderId="19" xfId="0" applyNumberFormat="1" applyFont="1" applyBorder="1"/>
    <xf numFmtId="0" fontId="16" fillId="5" borderId="16" xfId="0" applyFont="1" applyFill="1" applyBorder="1"/>
    <xf numFmtId="164" fontId="18" fillId="5" borderId="1" xfId="3" applyNumberFormat="1" applyFont="1" applyFill="1" applyBorder="1" applyAlignment="1">
      <alignment horizontal="left"/>
    </xf>
    <xf numFmtId="14" fontId="18" fillId="5" borderId="1" xfId="3" applyNumberFormat="1" applyFont="1" applyFill="1" applyBorder="1">
      <alignment horizontal="right"/>
    </xf>
    <xf numFmtId="164" fontId="18" fillId="5" borderId="1" xfId="3" applyNumberFormat="1" applyFont="1" applyFill="1" applyBorder="1">
      <alignment horizontal="right"/>
    </xf>
    <xf numFmtId="164" fontId="18" fillId="5" borderId="19" xfId="3" applyNumberFormat="1" applyFont="1" applyFill="1" applyBorder="1">
      <alignment horizontal="right"/>
    </xf>
    <xf numFmtId="14" fontId="18" fillId="5" borderId="17" xfId="3" applyNumberFormat="1" applyFont="1" applyFill="1" applyBorder="1">
      <alignment horizontal="right"/>
    </xf>
    <xf numFmtId="0" fontId="17" fillId="0" borderId="8" xfId="0" applyFont="1" applyBorder="1"/>
    <xf numFmtId="0" fontId="16" fillId="0" borderId="9" xfId="0" applyFont="1" applyBorder="1"/>
    <xf numFmtId="0" fontId="16" fillId="0" borderId="8" xfId="0" applyFont="1" applyBorder="1"/>
    <xf numFmtId="0" fontId="16" fillId="0" borderId="20" xfId="0" applyFont="1" applyBorder="1"/>
    <xf numFmtId="0" fontId="17" fillId="0" borderId="21" xfId="0" applyFont="1" applyBorder="1"/>
    <xf numFmtId="0" fontId="20" fillId="0" borderId="8" xfId="0" applyFont="1" applyBorder="1"/>
    <xf numFmtId="43" fontId="16" fillId="0" borderId="9" xfId="0" applyNumberFormat="1" applyFont="1" applyFill="1" applyBorder="1"/>
    <xf numFmtId="0" fontId="17" fillId="0" borderId="16" xfId="0" applyFont="1" applyBorder="1"/>
    <xf numFmtId="43" fontId="16" fillId="0" borderId="1" xfId="0" applyNumberFormat="1" applyFont="1" applyBorder="1"/>
    <xf numFmtId="43" fontId="16" fillId="0" borderId="19" xfId="0" applyNumberFormat="1" applyFont="1" applyBorder="1"/>
    <xf numFmtId="0" fontId="16" fillId="0" borderId="17" xfId="0" applyFont="1" applyBorder="1"/>
    <xf numFmtId="43" fontId="16" fillId="0" borderId="0" xfId="1" applyFont="1"/>
    <xf numFmtId="43" fontId="21" fillId="0" borderId="0" xfId="0" applyNumberFormat="1" applyFont="1" applyBorder="1"/>
    <xf numFmtId="44" fontId="16" fillId="0" borderId="0" xfId="8" applyFont="1"/>
    <xf numFmtId="0" fontId="16" fillId="0" borderId="0" xfId="0" applyFont="1" applyBorder="1" applyAlignment="1">
      <alignment horizontal="left" indent="1"/>
    </xf>
    <xf numFmtId="0" fontId="16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 indent="1"/>
    </xf>
    <xf numFmtId="43" fontId="21" fillId="0" borderId="0" xfId="0" applyNumberFormat="1" applyFont="1" applyFill="1" applyBorder="1"/>
    <xf numFmtId="0" fontId="16" fillId="0" borderId="23" xfId="0" applyFont="1" applyBorder="1"/>
    <xf numFmtId="164" fontId="18" fillId="5" borderId="15" xfId="3" applyNumberFormat="1" applyFont="1" applyFill="1" applyBorder="1" applyAlignment="1">
      <alignment horizontal="left"/>
    </xf>
    <xf numFmtId="43" fontId="24" fillId="0" borderId="0" xfId="1" applyFont="1" applyBorder="1"/>
    <xf numFmtId="43" fontId="0" fillId="0" borderId="0" xfId="1" applyFont="1"/>
    <xf numFmtId="0" fontId="17" fillId="6" borderId="24" xfId="0" applyFont="1" applyFill="1" applyBorder="1"/>
    <xf numFmtId="43" fontId="17" fillId="6" borderId="24" xfId="1" applyFont="1" applyFill="1" applyBorder="1"/>
    <xf numFmtId="0" fontId="0" fillId="0" borderId="9" xfId="0" applyBorder="1"/>
    <xf numFmtId="43" fontId="17" fillId="0" borderId="0" xfId="1" applyFont="1" applyBorder="1"/>
    <xf numFmtId="43" fontId="0" fillId="0" borderId="0" xfId="1" applyFont="1" applyBorder="1"/>
    <xf numFmtId="0" fontId="17" fillId="6" borderId="25" xfId="0" applyFont="1" applyFill="1" applyBorder="1"/>
    <xf numFmtId="0" fontId="18" fillId="5" borderId="5" xfId="0" applyFont="1" applyFill="1" applyBorder="1"/>
    <xf numFmtId="0" fontId="28" fillId="5" borderId="6" xfId="0" applyFont="1" applyFill="1" applyBorder="1"/>
    <xf numFmtId="0" fontId="28" fillId="5" borderId="7" xfId="0" applyFont="1" applyFill="1" applyBorder="1"/>
    <xf numFmtId="0" fontId="28" fillId="5" borderId="8" xfId="0" applyFont="1" applyFill="1" applyBorder="1"/>
    <xf numFmtId="0" fontId="28" fillId="5" borderId="0" xfId="0" applyFont="1" applyFill="1" applyBorder="1"/>
    <xf numFmtId="0" fontId="28" fillId="5" borderId="9" xfId="0" applyFont="1" applyFill="1" applyBorder="1"/>
    <xf numFmtId="167" fontId="0" fillId="0" borderId="0" xfId="2" applyNumberFormat="1" applyFont="1" applyBorder="1"/>
    <xf numFmtId="167" fontId="0" fillId="0" borderId="0" xfId="1" applyNumberFormat="1" applyFont="1" applyBorder="1"/>
    <xf numFmtId="167" fontId="17" fillId="6" borderId="24" xfId="2" applyNumberFormat="1" applyFont="1" applyFill="1" applyBorder="1"/>
    <xf numFmtId="167" fontId="17" fillId="0" borderId="0" xfId="2" applyNumberFormat="1" applyFont="1" applyBorder="1"/>
    <xf numFmtId="0" fontId="16" fillId="0" borderId="27" xfId="0" applyFont="1" applyBorder="1"/>
    <xf numFmtId="0" fontId="16" fillId="0" borderId="28" xfId="0" applyFont="1" applyBorder="1"/>
    <xf numFmtId="0" fontId="16" fillId="0" borderId="29" xfId="0" applyFont="1" applyBorder="1"/>
    <xf numFmtId="167" fontId="0" fillId="0" borderId="1" xfId="2" applyNumberFormat="1" applyFont="1" applyBorder="1"/>
    <xf numFmtId="167" fontId="16" fillId="0" borderId="0" xfId="2" applyNumberFormat="1" applyFont="1" applyBorder="1"/>
    <xf numFmtId="10" fontId="0" fillId="0" borderId="1" xfId="2" applyNumberFormat="1" applyFont="1" applyBorder="1"/>
    <xf numFmtId="43" fontId="0" fillId="0" borderId="9" xfId="1" applyFont="1" applyBorder="1"/>
    <xf numFmtId="0" fontId="29" fillId="5" borderId="5" xfId="0" applyFont="1" applyFill="1" applyBorder="1"/>
    <xf numFmtId="0" fontId="29" fillId="5" borderId="6" xfId="0" applyFont="1" applyFill="1" applyBorder="1"/>
    <xf numFmtId="178" fontId="29" fillId="5" borderId="6" xfId="0" applyNumberFormat="1" applyFont="1" applyFill="1" applyBorder="1"/>
    <xf numFmtId="9" fontId="29" fillId="5" borderId="6" xfId="2" applyFont="1" applyFill="1" applyBorder="1"/>
    <xf numFmtId="43" fontId="29" fillId="5" borderId="7" xfId="1" applyFont="1" applyFill="1" applyBorder="1"/>
    <xf numFmtId="0" fontId="29" fillId="5" borderId="8" xfId="0" applyFont="1" applyFill="1" applyBorder="1"/>
    <xf numFmtId="0" fontId="29" fillId="5" borderId="0" xfId="0" applyFont="1" applyFill="1"/>
    <xf numFmtId="0" fontId="30" fillId="0" borderId="8" xfId="0" applyFont="1" applyBorder="1"/>
    <xf numFmtId="43" fontId="30" fillId="0" borderId="0" xfId="0" applyNumberFormat="1" applyFont="1"/>
    <xf numFmtId="9" fontId="30" fillId="0" borderId="0" xfId="2" applyFont="1" applyBorder="1"/>
    <xf numFmtId="43" fontId="30" fillId="0" borderId="9" xfId="1" applyFont="1" applyBorder="1"/>
    <xf numFmtId="0" fontId="30" fillId="0" borderId="0" xfId="0" applyFont="1"/>
    <xf numFmtId="0" fontId="30" fillId="0" borderId="9" xfId="0" applyFont="1" applyBorder="1"/>
    <xf numFmtId="10" fontId="29" fillId="5" borderId="9" xfId="2" applyNumberFormat="1" applyFont="1" applyFill="1" applyBorder="1"/>
    <xf numFmtId="10" fontId="30" fillId="0" borderId="9" xfId="2" applyNumberFormat="1" applyFont="1" applyBorder="1"/>
    <xf numFmtId="0" fontId="30" fillId="0" borderId="16" xfId="0" applyFont="1" applyBorder="1"/>
    <xf numFmtId="0" fontId="30" fillId="0" borderId="1" xfId="0" applyFont="1" applyBorder="1"/>
    <xf numFmtId="43" fontId="30" fillId="0" borderId="0" xfId="1" applyFont="1"/>
    <xf numFmtId="43" fontId="30" fillId="0" borderId="0" xfId="1" applyFont="1" applyBorder="1"/>
    <xf numFmtId="178" fontId="31" fillId="5" borderId="0" xfId="0" applyNumberFormat="1" applyFont="1" applyFill="1" applyAlignment="1">
      <alignment horizontal="center" wrapText="1"/>
    </xf>
    <xf numFmtId="9" fontId="31" fillId="5" borderId="0" xfId="2" applyFont="1" applyFill="1" applyBorder="1"/>
    <xf numFmtId="178" fontId="31" fillId="5" borderId="0" xfId="0" applyNumberFormat="1" applyFont="1" applyFill="1"/>
    <xf numFmtId="0" fontId="31" fillId="5" borderId="0" xfId="0" applyFont="1" applyFill="1"/>
    <xf numFmtId="43" fontId="31" fillId="5" borderId="9" xfId="1" applyFont="1" applyFill="1" applyBorder="1"/>
    <xf numFmtId="43" fontId="17" fillId="6" borderId="24" xfId="0" applyNumberFormat="1" applyFont="1" applyFill="1" applyBorder="1"/>
    <xf numFmtId="0" fontId="29" fillId="5" borderId="7" xfId="0" applyFont="1" applyFill="1" applyBorder="1"/>
    <xf numFmtId="0" fontId="29" fillId="5" borderId="9" xfId="0" applyFont="1" applyFill="1" applyBorder="1"/>
    <xf numFmtId="10" fontId="30" fillId="0" borderId="9" xfId="0" applyNumberFormat="1" applyFont="1" applyBorder="1"/>
    <xf numFmtId="0" fontId="32" fillId="0" borderId="16" xfId="0" applyFont="1" applyBorder="1"/>
    <xf numFmtId="10" fontId="32" fillId="0" borderId="17" xfId="0" applyNumberFormat="1" applyFont="1" applyBorder="1"/>
    <xf numFmtId="43" fontId="17" fillId="6" borderId="26" xfId="0" applyNumberFormat="1" applyFont="1" applyFill="1" applyBorder="1"/>
    <xf numFmtId="10" fontId="30" fillId="0" borderId="17" xfId="2" applyNumberFormat="1" applyFont="1" applyBorder="1"/>
    <xf numFmtId="10" fontId="0" fillId="0" borderId="0" xfId="0" applyNumberFormat="1"/>
    <xf numFmtId="9" fontId="0" fillId="0" borderId="0" xfId="0" applyNumberFormat="1"/>
    <xf numFmtId="179" fontId="0" fillId="0" borderId="0" xfId="2" applyNumberFormat="1" applyFont="1"/>
    <xf numFmtId="179" fontId="30" fillId="0" borderId="9" xfId="0" applyNumberFormat="1" applyFont="1" applyBorder="1"/>
    <xf numFmtId="2" fontId="16" fillId="0" borderId="30" xfId="0" applyNumberFormat="1" applyFont="1" applyBorder="1"/>
    <xf numFmtId="43" fontId="16" fillId="0" borderId="30" xfId="0" applyNumberFormat="1" applyFont="1" applyBorder="1"/>
    <xf numFmtId="175" fontId="20" fillId="0" borderId="30" xfId="2" applyNumberFormat="1" applyFont="1" applyBorder="1"/>
    <xf numFmtId="176" fontId="26" fillId="0" borderId="30" xfId="0" applyNumberFormat="1" applyFont="1" applyBorder="1"/>
    <xf numFmtId="176" fontId="26" fillId="0" borderId="0" xfId="0" applyNumberFormat="1" applyFont="1" applyBorder="1"/>
    <xf numFmtId="0" fontId="18" fillId="5" borderId="5" xfId="0" applyFont="1" applyFill="1" applyBorder="1" applyAlignment="1">
      <alignment horizontal="centerContinuous"/>
    </xf>
    <xf numFmtId="0" fontId="18" fillId="5" borderId="7" xfId="0" applyFont="1" applyFill="1" applyBorder="1" applyAlignment="1">
      <alignment horizontal="centerContinuous"/>
    </xf>
    <xf numFmtId="10" fontId="0" fillId="0" borderId="9" xfId="0" applyNumberFormat="1" applyBorder="1"/>
    <xf numFmtId="166" fontId="0" fillId="0" borderId="9" xfId="1" applyNumberFormat="1" applyFont="1" applyBorder="1"/>
    <xf numFmtId="10" fontId="0" fillId="0" borderId="17" xfId="2" applyNumberFormat="1" applyFont="1" applyBorder="1"/>
    <xf numFmtId="0" fontId="18" fillId="5" borderId="31" xfId="0" applyFont="1" applyFill="1" applyBorder="1" applyAlignment="1">
      <alignment horizontal="centerContinuous"/>
    </xf>
    <xf numFmtId="0" fontId="18" fillId="5" borderId="23" xfId="0" applyFont="1" applyFill="1" applyBorder="1" applyAlignment="1">
      <alignment horizontal="centerContinuous"/>
    </xf>
    <xf numFmtId="167" fontId="0" fillId="0" borderId="17" xfId="2" applyNumberFormat="1" applyFont="1" applyBorder="1"/>
    <xf numFmtId="10" fontId="0" fillId="0" borderId="9" xfId="2" applyNumberFormat="1" applyFont="1" applyBorder="1"/>
    <xf numFmtId="180" fontId="0" fillId="0" borderId="17" xfId="0" applyNumberFormat="1" applyBorder="1"/>
    <xf numFmtId="175" fontId="20" fillId="0" borderId="9" xfId="2" applyNumberFormat="1" applyFont="1" applyBorder="1"/>
    <xf numFmtId="176" fontId="26" fillId="0" borderId="9" xfId="0" applyNumberFormat="1" applyFont="1" applyBorder="1"/>
    <xf numFmtId="2" fontId="16" fillId="0" borderId="9" xfId="0" applyNumberFormat="1" applyFont="1" applyBorder="1"/>
    <xf numFmtId="43" fontId="16" fillId="0" borderId="9" xfId="0" applyNumberFormat="1" applyFont="1" applyBorder="1"/>
    <xf numFmtId="43" fontId="21" fillId="0" borderId="9" xfId="0" applyNumberFormat="1" applyFont="1" applyBorder="1"/>
    <xf numFmtId="43" fontId="19" fillId="0" borderId="9" xfId="0" applyNumberFormat="1" applyFont="1" applyBorder="1"/>
    <xf numFmtId="2" fontId="16" fillId="0" borderId="32" xfId="0" applyNumberFormat="1" applyFont="1" applyBorder="1"/>
    <xf numFmtId="2" fontId="16" fillId="0" borderId="1" xfId="0" applyNumberFormat="1" applyFont="1" applyBorder="1"/>
    <xf numFmtId="2" fontId="16" fillId="0" borderId="17" xfId="0" applyNumberFormat="1" applyFont="1" applyBorder="1"/>
    <xf numFmtId="14" fontId="18" fillId="5" borderId="6" xfId="3" applyNumberFormat="1" applyFont="1" applyFill="1" applyBorder="1">
      <alignment horizontal="right"/>
    </xf>
    <xf numFmtId="0" fontId="17" fillId="7" borderId="20" xfId="0" applyFont="1" applyFill="1" applyBorder="1"/>
    <xf numFmtId="0" fontId="39" fillId="5" borderId="5" xfId="0" applyFont="1" applyFill="1" applyBorder="1"/>
    <xf numFmtId="0" fontId="40" fillId="5" borderId="5" xfId="0" applyFont="1" applyFill="1" applyBorder="1"/>
    <xf numFmtId="0" fontId="40" fillId="5" borderId="6" xfId="0" applyFont="1" applyFill="1" applyBorder="1"/>
    <xf numFmtId="0" fontId="16" fillId="7" borderId="11" xfId="0" applyFont="1" applyFill="1" applyBorder="1"/>
    <xf numFmtId="0" fontId="16" fillId="0" borderId="16" xfId="0" applyFont="1" applyBorder="1"/>
    <xf numFmtId="2" fontId="16" fillId="7" borderId="11" xfId="0" applyNumberFormat="1" applyFont="1" applyFill="1" applyBorder="1"/>
    <xf numFmtId="181" fontId="16" fillId="7" borderId="11" xfId="9" applyNumberFormat="1" applyFont="1" applyFill="1" applyBorder="1" applyAlignment="1">
      <alignment horizontal="right" vertical="center"/>
    </xf>
    <xf numFmtId="181" fontId="16" fillId="7" borderId="33" xfId="9" applyNumberFormat="1" applyFont="1" applyFill="1" applyBorder="1" applyAlignment="1">
      <alignment horizontal="right" vertical="center"/>
    </xf>
    <xf numFmtId="181" fontId="16" fillId="0" borderId="0" xfId="9" applyNumberFormat="1" applyFont="1" applyBorder="1" applyAlignment="1">
      <alignment horizontal="right" vertical="center"/>
    </xf>
    <xf numFmtId="181" fontId="16" fillId="0" borderId="9" xfId="9" applyNumberFormat="1" applyFont="1" applyBorder="1" applyAlignment="1">
      <alignment horizontal="right" vertical="center"/>
    </xf>
    <xf numFmtId="181" fontId="16" fillId="0" borderId="1" xfId="9" applyNumberFormat="1" applyFont="1" applyBorder="1" applyAlignment="1">
      <alignment horizontal="right" vertical="center"/>
    </xf>
    <xf numFmtId="181" fontId="16" fillId="0" borderId="17" xfId="9" applyNumberFormat="1" applyFont="1" applyBorder="1" applyAlignment="1">
      <alignment horizontal="right" vertical="center"/>
    </xf>
    <xf numFmtId="181" fontId="0" fillId="0" borderId="0" xfId="0" applyNumberFormat="1" applyBorder="1"/>
    <xf numFmtId="181" fontId="0" fillId="0" borderId="9" xfId="0" applyNumberFormat="1" applyBorder="1"/>
    <xf numFmtId="14" fontId="18" fillId="5" borderId="34" xfId="3" applyNumberFormat="1" applyFont="1" applyFill="1" applyBorder="1">
      <alignment horizontal="right"/>
    </xf>
    <xf numFmtId="164" fontId="18" fillId="5" borderId="23" xfId="3" applyNumberFormat="1" applyFont="1" applyFill="1" applyBorder="1">
      <alignment horizontal="right"/>
    </xf>
    <xf numFmtId="0" fontId="18" fillId="5" borderId="35" xfId="0" applyFont="1" applyFill="1" applyBorder="1"/>
    <xf numFmtId="0" fontId="0" fillId="0" borderId="36" xfId="0" applyBorder="1"/>
    <xf numFmtId="0" fontId="0" fillId="7" borderId="36" xfId="0" applyFill="1" applyBorder="1"/>
    <xf numFmtId="181" fontId="0" fillId="7" borderId="0" xfId="0" applyNumberFormat="1" applyFill="1" applyBorder="1"/>
    <xf numFmtId="181" fontId="0" fillId="7" borderId="9" xfId="0" applyNumberFormat="1" applyFill="1" applyBorder="1"/>
    <xf numFmtId="0" fontId="0" fillId="7" borderId="37" xfId="0" applyFill="1" applyBorder="1"/>
    <xf numFmtId="181" fontId="0" fillId="7" borderId="1" xfId="0" applyNumberFormat="1" applyFill="1" applyBorder="1"/>
    <xf numFmtId="181" fontId="0" fillId="7" borderId="17" xfId="0" applyNumberFormat="1" applyFill="1" applyBorder="1"/>
    <xf numFmtId="181" fontId="25" fillId="0" borderId="9" xfId="0" applyNumberFormat="1" applyFont="1" applyFill="1" applyBorder="1"/>
    <xf numFmtId="43" fontId="19" fillId="0" borderId="0" xfId="0" applyNumberFormat="1" applyFont="1" applyFill="1" applyBorder="1"/>
    <xf numFmtId="43" fontId="37" fillId="0" borderId="0" xfId="0" applyNumberFormat="1" applyFont="1" applyBorder="1"/>
    <xf numFmtId="43" fontId="37" fillId="0" borderId="9" xfId="0" applyNumberFormat="1" applyFont="1" applyBorder="1"/>
    <xf numFmtId="167" fontId="33" fillId="0" borderId="0" xfId="2" applyNumberFormat="1" applyFont="1" applyBorder="1"/>
    <xf numFmtId="167" fontId="33" fillId="0" borderId="9" xfId="2" applyNumberFormat="1" applyFont="1" applyBorder="1"/>
    <xf numFmtId="0" fontId="20" fillId="0" borderId="9" xfId="0" applyFont="1" applyBorder="1"/>
    <xf numFmtId="2" fontId="25" fillId="0" borderId="0" xfId="0" applyNumberFormat="1" applyFont="1" applyBorder="1"/>
    <xf numFmtId="167" fontId="20" fillId="0" borderId="0" xfId="2" applyNumberFormat="1" applyFont="1" applyBorder="1"/>
    <xf numFmtId="167" fontId="20" fillId="0" borderId="9" xfId="2" applyNumberFormat="1" applyFont="1" applyBorder="1"/>
    <xf numFmtId="43" fontId="25" fillId="0" borderId="0" xfId="0" applyNumberFormat="1" applyFont="1" applyBorder="1"/>
    <xf numFmtId="43" fontId="25" fillId="0" borderId="9" xfId="0" applyNumberFormat="1" applyFont="1" applyBorder="1"/>
    <xf numFmtId="182" fontId="0" fillId="0" borderId="0" xfId="0" applyNumberFormat="1"/>
    <xf numFmtId="43" fontId="0" fillId="0" borderId="10" xfId="0" applyNumberFormat="1" applyBorder="1"/>
    <xf numFmtId="43" fontId="0" fillId="0" borderId="19" xfId="0" applyNumberFormat="1" applyBorder="1"/>
    <xf numFmtId="164" fontId="18" fillId="5" borderId="17" xfId="3" applyNumberFormat="1" applyFont="1" applyFill="1" applyBorder="1">
      <alignment horizontal="right"/>
    </xf>
    <xf numFmtId="0" fontId="20" fillId="0" borderId="1" xfId="0" applyFont="1" applyBorder="1"/>
    <xf numFmtId="175" fontId="20" fillId="0" borderId="1" xfId="2" applyNumberFormat="1" applyFont="1" applyBorder="1"/>
    <xf numFmtId="175" fontId="26" fillId="0" borderId="1" xfId="0" applyNumberFormat="1" applyFont="1" applyBorder="1"/>
    <xf numFmtId="175" fontId="26" fillId="0" borderId="17" xfId="0" applyNumberFormat="1" applyFont="1" applyBorder="1"/>
    <xf numFmtId="175" fontId="20" fillId="0" borderId="19" xfId="2" applyNumberFormat="1" applyFont="1" applyBorder="1"/>
    <xf numFmtId="167" fontId="26" fillId="0" borderId="0" xfId="0" applyNumberFormat="1" applyFont="1" applyBorder="1"/>
    <xf numFmtId="167" fontId="26" fillId="0" borderId="9" xfId="0" applyNumberFormat="1" applyFont="1" applyBorder="1"/>
    <xf numFmtId="43" fontId="19" fillId="0" borderId="9" xfId="0" applyNumberFormat="1" applyFont="1" applyFill="1" applyBorder="1"/>
    <xf numFmtId="43" fontId="27" fillId="0" borderId="0" xfId="0" applyNumberFormat="1" applyFont="1" applyBorder="1"/>
    <xf numFmtId="43" fontId="27" fillId="0" borderId="9" xfId="0" applyNumberFormat="1" applyFont="1" applyBorder="1"/>
    <xf numFmtId="0" fontId="0" fillId="0" borderId="17" xfId="0" applyBorder="1"/>
    <xf numFmtId="0" fontId="0" fillId="0" borderId="10" xfId="0" applyBorder="1"/>
    <xf numFmtId="167" fontId="20" fillId="0" borderId="10" xfId="2" applyNumberFormat="1" applyFont="1" applyBorder="1"/>
    <xf numFmtId="0" fontId="0" fillId="0" borderId="20" xfId="0" applyBorder="1"/>
    <xf numFmtId="0" fontId="0" fillId="0" borderId="11" xfId="0" applyBorder="1"/>
    <xf numFmtId="167" fontId="20" fillId="0" borderId="11" xfId="2" applyNumberFormat="1" applyFont="1" applyBorder="1"/>
    <xf numFmtId="167" fontId="20" fillId="0" borderId="12" xfId="2" applyNumberFormat="1" applyFont="1" applyBorder="1"/>
    <xf numFmtId="167" fontId="26" fillId="0" borderId="11" xfId="2" applyNumberFormat="1" applyFont="1" applyBorder="1"/>
    <xf numFmtId="167" fontId="26" fillId="0" borderId="33" xfId="2" applyNumberFormat="1" applyFont="1" applyBorder="1"/>
    <xf numFmtId="0" fontId="0" fillId="0" borderId="13" xfId="0" applyBorder="1"/>
    <xf numFmtId="43" fontId="0" fillId="0" borderId="13" xfId="0" applyNumberFormat="1" applyBorder="1"/>
    <xf numFmtId="43" fontId="0" fillId="0" borderId="14" xfId="0" applyNumberFormat="1" applyBorder="1"/>
    <xf numFmtId="43" fontId="0" fillId="0" borderId="38" xfId="0" applyNumberFormat="1" applyBorder="1"/>
    <xf numFmtId="0" fontId="0" fillId="0" borderId="33" xfId="0" applyBorder="1"/>
    <xf numFmtId="0" fontId="17" fillId="0" borderId="25" xfId="0" applyFont="1" applyBorder="1"/>
    <xf numFmtId="0" fontId="0" fillId="0" borderId="24" xfId="0" applyBorder="1"/>
    <xf numFmtId="43" fontId="0" fillId="0" borderId="24" xfId="0" applyNumberFormat="1" applyBorder="1"/>
    <xf numFmtId="43" fontId="0" fillId="0" borderId="22" xfId="0" applyNumberFormat="1" applyBorder="1"/>
    <xf numFmtId="0" fontId="0" fillId="0" borderId="26" xfId="0" applyBorder="1"/>
    <xf numFmtId="167" fontId="26" fillId="0" borderId="11" xfId="0" applyNumberFormat="1" applyFont="1" applyBorder="1"/>
    <xf numFmtId="167" fontId="26" fillId="0" borderId="33" xfId="0" applyNumberFormat="1" applyFont="1" applyBorder="1"/>
    <xf numFmtId="43" fontId="0" fillId="0" borderId="26" xfId="0" applyNumberFormat="1" applyBorder="1"/>
    <xf numFmtId="43" fontId="27" fillId="0" borderId="11" xfId="0" applyNumberFormat="1" applyFont="1" applyBorder="1"/>
    <xf numFmtId="43" fontId="27" fillId="0" borderId="33" xfId="0" applyNumberFormat="1" applyFont="1" applyBorder="1"/>
    <xf numFmtId="0" fontId="17" fillId="0" borderId="20" xfId="0" applyFont="1" applyBorder="1"/>
    <xf numFmtId="0" fontId="0" fillId="0" borderId="23" xfId="0" applyBorder="1"/>
    <xf numFmtId="167" fontId="25" fillId="0" borderId="9" xfId="0" applyNumberFormat="1" applyFont="1" applyBorder="1"/>
    <xf numFmtId="167" fontId="16" fillId="0" borderId="9" xfId="2" applyNumberFormat="1" applyFont="1" applyBorder="1"/>
    <xf numFmtId="167" fontId="0" fillId="0" borderId="9" xfId="2" applyNumberFormat="1" applyFont="1" applyBorder="1"/>
    <xf numFmtId="0" fontId="17" fillId="0" borderId="8" xfId="0" applyFont="1" applyFill="1" applyBorder="1"/>
    <xf numFmtId="43" fontId="21" fillId="0" borderId="9" xfId="1" applyFont="1" applyBorder="1"/>
    <xf numFmtId="43" fontId="24" fillId="0" borderId="9" xfId="1" applyFont="1" applyBorder="1"/>
    <xf numFmtId="167" fontId="19" fillId="0" borderId="9" xfId="2" applyNumberFormat="1" applyFont="1" applyBorder="1"/>
    <xf numFmtId="165" fontId="21" fillId="0" borderId="9" xfId="0" applyNumberFormat="1" applyFont="1" applyBorder="1"/>
    <xf numFmtId="167" fontId="19" fillId="0" borderId="0" xfId="0" applyNumberFormat="1" applyFont="1" applyBorder="1"/>
    <xf numFmtId="167" fontId="19" fillId="0" borderId="9" xfId="0" applyNumberFormat="1" applyFont="1" applyBorder="1"/>
    <xf numFmtId="0" fontId="16" fillId="0" borderId="1" xfId="0" applyFont="1" applyBorder="1" applyAlignment="1">
      <alignment horizontal="left" indent="1"/>
    </xf>
    <xf numFmtId="43" fontId="21" fillId="0" borderId="1" xfId="0" applyNumberFormat="1" applyFont="1" applyFill="1" applyBorder="1"/>
    <xf numFmtId="43" fontId="19" fillId="0" borderId="1" xfId="0" applyNumberFormat="1" applyFont="1" applyBorder="1"/>
    <xf numFmtId="43" fontId="19" fillId="0" borderId="17" xfId="0" applyNumberFormat="1" applyFont="1" applyBorder="1"/>
    <xf numFmtId="0" fontId="18" fillId="5" borderId="16" xfId="0" applyFont="1" applyFill="1" applyBorder="1"/>
    <xf numFmtId="43" fontId="16" fillId="0" borderId="10" xfId="0" applyNumberFormat="1" applyFont="1" applyBorder="1"/>
    <xf numFmtId="167" fontId="16" fillId="0" borderId="10" xfId="2" applyNumberFormat="1" applyFont="1" applyBorder="1"/>
    <xf numFmtId="167" fontId="0" fillId="0" borderId="10" xfId="2" applyNumberFormat="1" applyFont="1" applyBorder="1"/>
    <xf numFmtId="166" fontId="16" fillId="0" borderId="10" xfId="0" applyNumberFormat="1" applyFont="1" applyBorder="1"/>
    <xf numFmtId="43" fontId="21" fillId="0" borderId="10" xfId="0" applyNumberFormat="1" applyFont="1" applyBorder="1"/>
    <xf numFmtId="9" fontId="19" fillId="0" borderId="10" xfId="2" applyFont="1" applyBorder="1"/>
    <xf numFmtId="165" fontId="16" fillId="0" borderId="10" xfId="0" applyNumberFormat="1" applyFont="1" applyBorder="1"/>
    <xf numFmtId="0" fontId="16" fillId="0" borderId="10" xfId="0" applyFont="1" applyBorder="1"/>
    <xf numFmtId="43" fontId="19" fillId="0" borderId="19" xfId="0" applyNumberFormat="1" applyFont="1" applyBorder="1"/>
    <xf numFmtId="0" fontId="17" fillId="0" borderId="5" xfId="0" applyFont="1" applyBorder="1"/>
    <xf numFmtId="0" fontId="16" fillId="0" borderId="6" xfId="0" applyFont="1" applyBorder="1"/>
    <xf numFmtId="43" fontId="16" fillId="0" borderId="6" xfId="0" applyNumberFormat="1" applyFont="1" applyBorder="1"/>
    <xf numFmtId="43" fontId="16" fillId="0" borderId="18" xfId="0" applyNumberFormat="1" applyFont="1" applyBorder="1"/>
    <xf numFmtId="43" fontId="16" fillId="0" borderId="7" xfId="0" applyNumberFormat="1" applyFont="1" applyBorder="1"/>
    <xf numFmtId="43" fontId="16" fillId="0" borderId="11" xfId="0" applyNumberFormat="1" applyFont="1" applyBorder="1"/>
    <xf numFmtId="43" fontId="16" fillId="0" borderId="12" xfId="0" applyNumberFormat="1" applyFont="1" applyBorder="1"/>
    <xf numFmtId="43" fontId="16" fillId="0" borderId="33" xfId="0" applyNumberFormat="1" applyFont="1" applyBorder="1"/>
    <xf numFmtId="0" fontId="17" fillId="0" borderId="11" xfId="0" applyFont="1" applyBorder="1"/>
    <xf numFmtId="43" fontId="19" fillId="0" borderId="33" xfId="0" applyNumberFormat="1" applyFont="1" applyBorder="1"/>
    <xf numFmtId="0" fontId="27" fillId="0" borderId="0" xfId="0" applyFont="1" applyBorder="1"/>
    <xf numFmtId="0" fontId="27" fillId="0" borderId="9" xfId="0" applyFont="1" applyBorder="1"/>
    <xf numFmtId="177" fontId="27" fillId="0" borderId="0" xfId="0" applyNumberFormat="1" applyFont="1" applyBorder="1"/>
    <xf numFmtId="177" fontId="27" fillId="0" borderId="9" xfId="0" applyNumberFormat="1" applyFont="1" applyBorder="1"/>
    <xf numFmtId="177" fontId="27" fillId="0" borderId="1" xfId="0" applyNumberFormat="1" applyFont="1" applyBorder="1"/>
    <xf numFmtId="177" fontId="27" fillId="0" borderId="17" xfId="0" applyNumberFormat="1" applyFont="1" applyBorder="1"/>
    <xf numFmtId="43" fontId="16" fillId="0" borderId="39" xfId="0" applyNumberFormat="1" applyFont="1" applyBorder="1"/>
    <xf numFmtId="43" fontId="0" fillId="0" borderId="6" xfId="0" applyNumberFormat="1" applyBorder="1"/>
    <xf numFmtId="43" fontId="0" fillId="0" borderId="7" xfId="0" applyNumberFormat="1" applyBorder="1"/>
    <xf numFmtId="176" fontId="26" fillId="0" borderId="40" xfId="0" applyNumberFormat="1" applyFont="1" applyBorder="1"/>
    <xf numFmtId="176" fontId="26" fillId="0" borderId="11" xfId="0" applyNumberFormat="1" applyFont="1" applyBorder="1"/>
    <xf numFmtId="176" fontId="26" fillId="0" borderId="33" xfId="0" applyNumberFormat="1" applyFont="1" applyBorder="1"/>
    <xf numFmtId="2" fontId="0" fillId="0" borderId="41" xfId="0" applyNumberFormat="1" applyBorder="1"/>
    <xf numFmtId="2" fontId="0" fillId="0" borderId="13" xfId="0" applyNumberFormat="1" applyBorder="1"/>
    <xf numFmtId="2" fontId="0" fillId="0" borderId="38" xfId="0" applyNumberFormat="1" applyBorder="1"/>
    <xf numFmtId="43" fontId="0" fillId="0" borderId="30" xfId="0" applyNumberFormat="1" applyBorder="1"/>
    <xf numFmtId="43" fontId="21" fillId="0" borderId="30" xfId="0" applyNumberFormat="1" applyFont="1" applyBorder="1"/>
    <xf numFmtId="2" fontId="16" fillId="0" borderId="41" xfId="0" applyNumberFormat="1" applyFont="1" applyBorder="1"/>
    <xf numFmtId="2" fontId="16" fillId="0" borderId="38" xfId="0" applyNumberFormat="1" applyFont="1" applyBorder="1"/>
    <xf numFmtId="43" fontId="16" fillId="0" borderId="30" xfId="0" applyNumberFormat="1" applyFont="1" applyFill="1" applyBorder="1"/>
    <xf numFmtId="43" fontId="19" fillId="0" borderId="30" xfId="0" applyNumberFormat="1" applyFont="1" applyBorder="1"/>
    <xf numFmtId="43" fontId="16" fillId="0" borderId="40" xfId="0" applyNumberFormat="1" applyFont="1" applyFill="1" applyBorder="1"/>
    <xf numFmtId="43" fontId="16" fillId="0" borderId="11" xfId="0" applyNumberFormat="1" applyFont="1" applyFill="1" applyBorder="1"/>
    <xf numFmtId="43" fontId="16" fillId="0" borderId="33" xfId="0" applyNumberFormat="1" applyFont="1" applyFill="1" applyBorder="1"/>
    <xf numFmtId="43" fontId="21" fillId="0" borderId="41" xfId="0" applyNumberFormat="1" applyFont="1" applyBorder="1"/>
    <xf numFmtId="175" fontId="36" fillId="0" borderId="11" xfId="2" applyNumberFormat="1" applyFont="1" applyBorder="1"/>
    <xf numFmtId="175" fontId="36" fillId="0" borderId="33" xfId="2" applyNumberFormat="1" applyFont="1" applyBorder="1"/>
    <xf numFmtId="0" fontId="0" fillId="0" borderId="21" xfId="0" applyBorder="1"/>
    <xf numFmtId="43" fontId="25" fillId="0" borderId="11" xfId="0" applyNumberFormat="1" applyFont="1" applyBorder="1"/>
    <xf numFmtId="43" fontId="25" fillId="0" borderId="33" xfId="0" applyNumberFormat="1" applyFont="1" applyBorder="1"/>
    <xf numFmtId="10" fontId="0" fillId="0" borderId="0" xfId="0" applyNumberFormat="1" applyBorder="1"/>
    <xf numFmtId="9" fontId="0" fillId="0" borderId="0" xfId="0" applyNumberFormat="1" applyBorder="1"/>
    <xf numFmtId="0" fontId="17" fillId="0" borderId="42" xfId="0" applyFont="1" applyBorder="1"/>
    <xf numFmtId="0" fontId="17" fillId="0" borderId="43" xfId="0" applyFont="1" applyBorder="1"/>
    <xf numFmtId="10" fontId="17" fillId="0" borderId="44" xfId="2" applyNumberFormat="1" applyFont="1" applyBorder="1"/>
    <xf numFmtId="0" fontId="28" fillId="5" borderId="16" xfId="0" applyFont="1" applyFill="1" applyBorder="1"/>
    <xf numFmtId="0" fontId="28" fillId="5" borderId="1" xfId="0" applyFont="1" applyFill="1" applyBorder="1"/>
    <xf numFmtId="0" fontId="28" fillId="5" borderId="17" xfId="0" applyFont="1" applyFill="1" applyBorder="1"/>
    <xf numFmtId="165" fontId="16" fillId="0" borderId="0" xfId="0" applyNumberFormat="1" applyFont="1"/>
    <xf numFmtId="165" fontId="17" fillId="0" borderId="0" xfId="0" applyNumberFormat="1" applyFont="1" applyAlignment="1">
      <alignment horizontal="center"/>
    </xf>
    <xf numFmtId="183" fontId="17" fillId="0" borderId="0" xfId="0" applyNumberFormat="1" applyFont="1"/>
    <xf numFmtId="165" fontId="17" fillId="0" borderId="0" xfId="0" applyNumberFormat="1" applyFont="1"/>
    <xf numFmtId="181" fontId="17" fillId="0" borderId="0" xfId="0" applyNumberFormat="1" applyFont="1"/>
    <xf numFmtId="0" fontId="17" fillId="0" borderId="0" xfId="0" applyFont="1" applyAlignment="1">
      <alignment horizontal="center"/>
    </xf>
    <xf numFmtId="43" fontId="0" fillId="0" borderId="5" xfId="0" applyNumberFormat="1" applyBorder="1"/>
    <xf numFmtId="43" fontId="0" fillId="0" borderId="8" xfId="0" applyNumberFormat="1" applyBorder="1"/>
    <xf numFmtId="43" fontId="0" fillId="0" borderId="16" xfId="0" applyNumberFormat="1" applyBorder="1"/>
    <xf numFmtId="43" fontId="0" fillId="0" borderId="15" xfId="0" applyNumberFormat="1" applyBorder="1"/>
    <xf numFmtId="43" fontId="0" fillId="0" borderId="41" xfId="0" applyNumberFormat="1" applyBorder="1"/>
    <xf numFmtId="43" fontId="0" fillId="0" borderId="40" xfId="0" applyNumberFormat="1" applyBorder="1"/>
    <xf numFmtId="43" fontId="0" fillId="0" borderId="11" xfId="0" applyNumberFormat="1" applyBorder="1"/>
    <xf numFmtId="43" fontId="0" fillId="0" borderId="12" xfId="0" applyNumberFormat="1" applyBorder="1"/>
    <xf numFmtId="167" fontId="41" fillId="0" borderId="9" xfId="0" applyNumberFormat="1" applyFont="1" applyBorder="1"/>
    <xf numFmtId="0" fontId="0" fillId="0" borderId="45" xfId="0" applyBorder="1"/>
    <xf numFmtId="10" fontId="17" fillId="0" borderId="0" xfId="2" applyNumberFormat="1" applyFont="1" applyBorder="1"/>
    <xf numFmtId="2" fontId="0" fillId="0" borderId="9" xfId="0" applyNumberFormat="1" applyBorder="1"/>
    <xf numFmtId="0" fontId="0" fillId="0" borderId="8" xfId="0" applyFill="1" applyBorder="1"/>
    <xf numFmtId="0" fontId="16" fillId="0" borderId="1" xfId="0" applyFont="1" applyBorder="1" applyAlignment="1">
      <alignment horizontal="left" indent="2"/>
    </xf>
    <xf numFmtId="10" fontId="17" fillId="0" borderId="0" xfId="0" applyNumberFormat="1" applyFont="1" applyBorder="1"/>
    <xf numFmtId="10" fontId="0" fillId="0" borderId="0" xfId="2" applyNumberFormat="1" applyFont="1" applyBorder="1"/>
    <xf numFmtId="10" fontId="25" fillId="0" borderId="9" xfId="0" applyNumberFormat="1" applyFont="1" applyBorder="1"/>
    <xf numFmtId="166" fontId="25" fillId="0" borderId="9" xfId="1" applyNumberFormat="1" applyFont="1" applyBorder="1"/>
    <xf numFmtId="14" fontId="0" fillId="0" borderId="0" xfId="0" applyNumberFormat="1"/>
    <xf numFmtId="0" fontId="0" fillId="8" borderId="8" xfId="0" applyFill="1" applyBorder="1"/>
    <xf numFmtId="0" fontId="0" fillId="8" borderId="0" xfId="0" applyFill="1" applyBorder="1"/>
    <xf numFmtId="0" fontId="0" fillId="8" borderId="9" xfId="0" applyFill="1" applyBorder="1"/>
    <xf numFmtId="0" fontId="0" fillId="8" borderId="16" xfId="0" applyFill="1" applyBorder="1"/>
    <xf numFmtId="181" fontId="16" fillId="8" borderId="9" xfId="9" applyNumberFormat="1" applyFont="1" applyFill="1" applyBorder="1" applyAlignment="1">
      <alignment horizontal="right" vertical="center"/>
    </xf>
    <xf numFmtId="43" fontId="0" fillId="8" borderId="17" xfId="0" applyNumberFormat="1" applyFill="1" applyBorder="1"/>
    <xf numFmtId="0" fontId="0" fillId="0" borderId="0" xfId="0" applyFill="1" applyBorder="1"/>
    <xf numFmtId="0" fontId="20" fillId="0" borderId="0" xfId="0" applyFont="1"/>
    <xf numFmtId="43" fontId="0" fillId="8" borderId="0" xfId="0" applyNumberFormat="1" applyFill="1" applyBorder="1"/>
    <xf numFmtId="0" fontId="29" fillId="5" borderId="0" xfId="0" applyFont="1" applyFill="1" applyBorder="1" applyAlignment="1">
      <alignment horizontal="centerContinuous"/>
    </xf>
    <xf numFmtId="0" fontId="29" fillId="5" borderId="5" xfId="0" applyFont="1" applyFill="1" applyBorder="1" applyAlignment="1">
      <alignment horizontal="centerContinuous"/>
    </xf>
    <xf numFmtId="0" fontId="29" fillId="5" borderId="6" xfId="0" applyFont="1" applyFill="1" applyBorder="1" applyAlignment="1">
      <alignment horizontal="centerContinuous"/>
    </xf>
    <xf numFmtId="0" fontId="29" fillId="5" borderId="7" xfId="0" applyFont="1" applyFill="1" applyBorder="1" applyAlignment="1">
      <alignment horizontal="centerContinuous"/>
    </xf>
    <xf numFmtId="2" fontId="0" fillId="8" borderId="9" xfId="0" applyNumberFormat="1" applyFill="1" applyBorder="1"/>
    <xf numFmtId="0" fontId="29" fillId="5" borderId="8" xfId="0" applyFont="1" applyFill="1" applyBorder="1" applyAlignment="1">
      <alignment horizontal="centerContinuous"/>
    </xf>
    <xf numFmtId="0" fontId="29" fillId="5" borderId="9" xfId="0" applyFont="1" applyFill="1" applyBorder="1" applyAlignment="1">
      <alignment horizontal="centerContinuous"/>
    </xf>
    <xf numFmtId="43" fontId="0" fillId="8" borderId="9" xfId="0" applyNumberFormat="1" applyFill="1" applyBorder="1"/>
    <xf numFmtId="0" fontId="17" fillId="0" borderId="9" xfId="0" applyFont="1" applyBorder="1"/>
    <xf numFmtId="43" fontId="0" fillId="8" borderId="1" xfId="0" applyNumberFormat="1" applyFill="1" applyBorder="1"/>
    <xf numFmtId="164" fontId="18" fillId="5" borderId="10" xfId="3" applyNumberFormat="1" applyFont="1" applyFill="1" applyBorder="1">
      <alignment horizontal="right"/>
    </xf>
    <xf numFmtId="43" fontId="37" fillId="0" borderId="10" xfId="0" applyNumberFormat="1" applyFont="1" applyBorder="1"/>
    <xf numFmtId="167" fontId="33" fillId="0" borderId="10" xfId="2" applyNumberFormat="1" applyFont="1" applyBorder="1"/>
    <xf numFmtId="2" fontId="25" fillId="0" borderId="10" xfId="0" applyNumberFormat="1" applyFont="1" applyBorder="1"/>
    <xf numFmtId="43" fontId="25" fillId="0" borderId="10" xfId="0" applyNumberFormat="1" applyFont="1" applyBorder="1"/>
    <xf numFmtId="175" fontId="36" fillId="0" borderId="12" xfId="2" applyNumberFormat="1" applyFont="1" applyBorder="1"/>
    <xf numFmtId="43" fontId="25" fillId="0" borderId="12" xfId="0" applyNumberFormat="1" applyFont="1" applyBorder="1"/>
    <xf numFmtId="0" fontId="0" fillId="0" borderId="19" xfId="0" applyBorder="1"/>
  </cellXfs>
  <cellStyles count="11">
    <cellStyle name="A" xfId="10" xr:uid="{2554F692-70BA-46A0-9B5C-11ACB7B0EB34}"/>
    <cellStyle name="Comma" xfId="1" builtinId="3"/>
    <cellStyle name="Currency" xfId="8" builtinId="4"/>
    <cellStyle name="fa_column_header_bottom" xfId="4" xr:uid="{780A3F62-6080-48FA-A240-E4E5087C00BB}"/>
    <cellStyle name="fa_column_header_top" xfId="3" xr:uid="{96E83E65-52ED-4F3E-8A8C-DF263D84D12D}"/>
    <cellStyle name="Invisible" xfId="7" xr:uid="{E5604F61-270D-4097-AC18-CC4A88E0514A}"/>
    <cellStyle name="Normal" xfId="0" builtinId="0"/>
    <cellStyle name="Normal 2" xfId="5" xr:uid="{D5DC9628-F2F1-44CF-947C-CF715BC791CF}"/>
    <cellStyle name="Normal 3" xfId="6" xr:uid="{40F54CE8-7501-4806-96C4-0688DA3AB073}"/>
    <cellStyle name="Percent" xfId="2" builtinId="5"/>
    <cellStyle name="R" xfId="9" xr:uid="{4A510F8D-5BB9-4E94-967C-181F7B885907}"/>
  </cellStyles>
  <dxfs count="0"/>
  <tableStyles count="0" defaultTableStyle="TableStyleMedium2" defaultPivotStyle="PivotStyleLight16"/>
  <colors>
    <mruColors>
      <color rgb="FF00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'Stock Price'!$D$2</c:f>
              <c:strCache>
                <c:ptCount val="1"/>
                <c:pt idx="0">
                  <c:v>Volume (in thousands)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'Stock Price'!$B$3:$B$460</c:f>
              <c:numCache>
                <c:formatCode>m/d/yyyy</c:formatCode>
                <c:ptCount val="458"/>
                <c:pt idx="0">
                  <c:v>43474</c:v>
                </c:pt>
                <c:pt idx="1">
                  <c:v>43475</c:v>
                </c:pt>
                <c:pt idx="2">
                  <c:v>43476</c:v>
                </c:pt>
                <c:pt idx="3">
                  <c:v>43479</c:v>
                </c:pt>
                <c:pt idx="4">
                  <c:v>43480</c:v>
                </c:pt>
                <c:pt idx="5">
                  <c:v>43481</c:v>
                </c:pt>
                <c:pt idx="6">
                  <c:v>43482</c:v>
                </c:pt>
                <c:pt idx="7">
                  <c:v>43483</c:v>
                </c:pt>
                <c:pt idx="8">
                  <c:v>43487</c:v>
                </c:pt>
                <c:pt idx="9">
                  <c:v>43488</c:v>
                </c:pt>
                <c:pt idx="10">
                  <c:v>43489</c:v>
                </c:pt>
                <c:pt idx="11">
                  <c:v>43490</c:v>
                </c:pt>
                <c:pt idx="12">
                  <c:v>43493</c:v>
                </c:pt>
                <c:pt idx="13">
                  <c:v>43494</c:v>
                </c:pt>
                <c:pt idx="14">
                  <c:v>43495</c:v>
                </c:pt>
                <c:pt idx="15">
                  <c:v>43496</c:v>
                </c:pt>
                <c:pt idx="16">
                  <c:v>43497</c:v>
                </c:pt>
                <c:pt idx="17">
                  <c:v>43500</c:v>
                </c:pt>
                <c:pt idx="18">
                  <c:v>43501</c:v>
                </c:pt>
                <c:pt idx="19">
                  <c:v>43502</c:v>
                </c:pt>
                <c:pt idx="20">
                  <c:v>43503</c:v>
                </c:pt>
                <c:pt idx="21">
                  <c:v>43504</c:v>
                </c:pt>
                <c:pt idx="22">
                  <c:v>43507</c:v>
                </c:pt>
                <c:pt idx="23">
                  <c:v>43508</c:v>
                </c:pt>
                <c:pt idx="24">
                  <c:v>43509</c:v>
                </c:pt>
                <c:pt idx="25">
                  <c:v>43510</c:v>
                </c:pt>
                <c:pt idx="26">
                  <c:v>43511</c:v>
                </c:pt>
                <c:pt idx="27">
                  <c:v>43515</c:v>
                </c:pt>
                <c:pt idx="28">
                  <c:v>43516</c:v>
                </c:pt>
                <c:pt idx="29">
                  <c:v>43517</c:v>
                </c:pt>
                <c:pt idx="30">
                  <c:v>43518</c:v>
                </c:pt>
                <c:pt idx="31">
                  <c:v>43521</c:v>
                </c:pt>
                <c:pt idx="32">
                  <c:v>43522</c:v>
                </c:pt>
                <c:pt idx="33">
                  <c:v>43523</c:v>
                </c:pt>
                <c:pt idx="34">
                  <c:v>43524</c:v>
                </c:pt>
                <c:pt idx="35">
                  <c:v>43525</c:v>
                </c:pt>
                <c:pt idx="36">
                  <c:v>43528</c:v>
                </c:pt>
                <c:pt idx="37">
                  <c:v>43529</c:v>
                </c:pt>
                <c:pt idx="38">
                  <c:v>43530</c:v>
                </c:pt>
                <c:pt idx="39">
                  <c:v>43531</c:v>
                </c:pt>
                <c:pt idx="40">
                  <c:v>43532</c:v>
                </c:pt>
                <c:pt idx="41">
                  <c:v>43535</c:v>
                </c:pt>
                <c:pt idx="42">
                  <c:v>43536</c:v>
                </c:pt>
                <c:pt idx="43">
                  <c:v>43537</c:v>
                </c:pt>
                <c:pt idx="44">
                  <c:v>43538</c:v>
                </c:pt>
                <c:pt idx="45">
                  <c:v>43539</c:v>
                </c:pt>
                <c:pt idx="46">
                  <c:v>43542</c:v>
                </c:pt>
                <c:pt idx="47">
                  <c:v>43543</c:v>
                </c:pt>
                <c:pt idx="48">
                  <c:v>43544</c:v>
                </c:pt>
                <c:pt idx="49">
                  <c:v>43545</c:v>
                </c:pt>
                <c:pt idx="50">
                  <c:v>43546</c:v>
                </c:pt>
                <c:pt idx="51">
                  <c:v>43549</c:v>
                </c:pt>
                <c:pt idx="52">
                  <c:v>43550</c:v>
                </c:pt>
                <c:pt idx="53">
                  <c:v>43551</c:v>
                </c:pt>
                <c:pt idx="54">
                  <c:v>43552</c:v>
                </c:pt>
                <c:pt idx="55">
                  <c:v>43553</c:v>
                </c:pt>
                <c:pt idx="56">
                  <c:v>43556</c:v>
                </c:pt>
                <c:pt idx="57">
                  <c:v>43557</c:v>
                </c:pt>
                <c:pt idx="58">
                  <c:v>43558</c:v>
                </c:pt>
                <c:pt idx="59">
                  <c:v>43559</c:v>
                </c:pt>
                <c:pt idx="60">
                  <c:v>43560</c:v>
                </c:pt>
                <c:pt idx="61">
                  <c:v>43563</c:v>
                </c:pt>
                <c:pt idx="62">
                  <c:v>43564</c:v>
                </c:pt>
                <c:pt idx="63">
                  <c:v>43565</c:v>
                </c:pt>
                <c:pt idx="64">
                  <c:v>43566</c:v>
                </c:pt>
                <c:pt idx="65">
                  <c:v>43567</c:v>
                </c:pt>
                <c:pt idx="66">
                  <c:v>43570</c:v>
                </c:pt>
                <c:pt idx="67">
                  <c:v>43571</c:v>
                </c:pt>
                <c:pt idx="68">
                  <c:v>43572</c:v>
                </c:pt>
                <c:pt idx="69">
                  <c:v>43573</c:v>
                </c:pt>
                <c:pt idx="70">
                  <c:v>43577</c:v>
                </c:pt>
                <c:pt idx="71">
                  <c:v>43578</c:v>
                </c:pt>
                <c:pt idx="72">
                  <c:v>43579</c:v>
                </c:pt>
                <c:pt idx="73">
                  <c:v>43580</c:v>
                </c:pt>
                <c:pt idx="74">
                  <c:v>43581</c:v>
                </c:pt>
                <c:pt idx="75">
                  <c:v>43584</c:v>
                </c:pt>
                <c:pt idx="76">
                  <c:v>43585</c:v>
                </c:pt>
                <c:pt idx="77">
                  <c:v>43586</c:v>
                </c:pt>
                <c:pt idx="78">
                  <c:v>43587</c:v>
                </c:pt>
                <c:pt idx="79">
                  <c:v>43588</c:v>
                </c:pt>
                <c:pt idx="80">
                  <c:v>43591</c:v>
                </c:pt>
                <c:pt idx="81">
                  <c:v>43592</c:v>
                </c:pt>
                <c:pt idx="82">
                  <c:v>43593</c:v>
                </c:pt>
                <c:pt idx="83">
                  <c:v>43594</c:v>
                </c:pt>
                <c:pt idx="84">
                  <c:v>43595</c:v>
                </c:pt>
                <c:pt idx="85">
                  <c:v>43598</c:v>
                </c:pt>
                <c:pt idx="86">
                  <c:v>43599</c:v>
                </c:pt>
                <c:pt idx="87">
                  <c:v>43600</c:v>
                </c:pt>
                <c:pt idx="88">
                  <c:v>43601</c:v>
                </c:pt>
                <c:pt idx="89">
                  <c:v>43602</c:v>
                </c:pt>
                <c:pt idx="90">
                  <c:v>43605</c:v>
                </c:pt>
                <c:pt idx="91">
                  <c:v>43606</c:v>
                </c:pt>
                <c:pt idx="92">
                  <c:v>43607</c:v>
                </c:pt>
                <c:pt idx="93">
                  <c:v>43608</c:v>
                </c:pt>
                <c:pt idx="94">
                  <c:v>43609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43623</c:v>
                </c:pt>
                <c:pt idx="104">
                  <c:v>43626</c:v>
                </c:pt>
                <c:pt idx="105">
                  <c:v>43627</c:v>
                </c:pt>
                <c:pt idx="106">
                  <c:v>43628</c:v>
                </c:pt>
                <c:pt idx="107">
                  <c:v>43629</c:v>
                </c:pt>
                <c:pt idx="108">
                  <c:v>43630</c:v>
                </c:pt>
                <c:pt idx="109">
                  <c:v>43633</c:v>
                </c:pt>
                <c:pt idx="110">
                  <c:v>43634</c:v>
                </c:pt>
                <c:pt idx="111">
                  <c:v>43635</c:v>
                </c:pt>
                <c:pt idx="112">
                  <c:v>43636</c:v>
                </c:pt>
                <c:pt idx="113">
                  <c:v>43637</c:v>
                </c:pt>
                <c:pt idx="114">
                  <c:v>43640</c:v>
                </c:pt>
                <c:pt idx="115">
                  <c:v>43641</c:v>
                </c:pt>
                <c:pt idx="116">
                  <c:v>43642</c:v>
                </c:pt>
                <c:pt idx="117">
                  <c:v>43643</c:v>
                </c:pt>
                <c:pt idx="118">
                  <c:v>43644</c:v>
                </c:pt>
                <c:pt idx="119">
                  <c:v>43647</c:v>
                </c:pt>
                <c:pt idx="120">
                  <c:v>43648</c:v>
                </c:pt>
                <c:pt idx="121">
                  <c:v>43649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43711</c:v>
                </c:pt>
                <c:pt idx="164">
                  <c:v>43712</c:v>
                </c:pt>
                <c:pt idx="165">
                  <c:v>43713</c:v>
                </c:pt>
                <c:pt idx="166">
                  <c:v>43714</c:v>
                </c:pt>
                <c:pt idx="167">
                  <c:v>43717</c:v>
                </c:pt>
                <c:pt idx="168">
                  <c:v>43718</c:v>
                </c:pt>
                <c:pt idx="169">
                  <c:v>43719</c:v>
                </c:pt>
                <c:pt idx="170">
                  <c:v>43720</c:v>
                </c:pt>
                <c:pt idx="171">
                  <c:v>43721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43739</c:v>
                </c:pt>
                <c:pt idx="184">
                  <c:v>43740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43746</c:v>
                </c:pt>
                <c:pt idx="189">
                  <c:v>43747</c:v>
                </c:pt>
                <c:pt idx="190">
                  <c:v>43748</c:v>
                </c:pt>
                <c:pt idx="191">
                  <c:v>43749</c:v>
                </c:pt>
                <c:pt idx="192">
                  <c:v>43752</c:v>
                </c:pt>
                <c:pt idx="193">
                  <c:v>43753</c:v>
                </c:pt>
                <c:pt idx="194">
                  <c:v>43754</c:v>
                </c:pt>
                <c:pt idx="195">
                  <c:v>43755</c:v>
                </c:pt>
                <c:pt idx="196">
                  <c:v>43756</c:v>
                </c:pt>
                <c:pt idx="197">
                  <c:v>43759</c:v>
                </c:pt>
                <c:pt idx="198">
                  <c:v>43760</c:v>
                </c:pt>
                <c:pt idx="199">
                  <c:v>43761</c:v>
                </c:pt>
                <c:pt idx="200">
                  <c:v>43762</c:v>
                </c:pt>
                <c:pt idx="201">
                  <c:v>43763</c:v>
                </c:pt>
                <c:pt idx="202">
                  <c:v>43766</c:v>
                </c:pt>
                <c:pt idx="203">
                  <c:v>43767</c:v>
                </c:pt>
                <c:pt idx="204">
                  <c:v>43768</c:v>
                </c:pt>
                <c:pt idx="205">
                  <c:v>43769</c:v>
                </c:pt>
                <c:pt idx="206">
                  <c:v>43770</c:v>
                </c:pt>
                <c:pt idx="207">
                  <c:v>43773</c:v>
                </c:pt>
                <c:pt idx="208">
                  <c:v>43774</c:v>
                </c:pt>
                <c:pt idx="209">
                  <c:v>43775</c:v>
                </c:pt>
                <c:pt idx="210">
                  <c:v>43776</c:v>
                </c:pt>
                <c:pt idx="211">
                  <c:v>43777</c:v>
                </c:pt>
                <c:pt idx="212">
                  <c:v>43780</c:v>
                </c:pt>
                <c:pt idx="213">
                  <c:v>43781</c:v>
                </c:pt>
                <c:pt idx="214">
                  <c:v>43782</c:v>
                </c:pt>
                <c:pt idx="215">
                  <c:v>43783</c:v>
                </c:pt>
                <c:pt idx="216">
                  <c:v>43784</c:v>
                </c:pt>
                <c:pt idx="217">
                  <c:v>43787</c:v>
                </c:pt>
                <c:pt idx="218">
                  <c:v>43788</c:v>
                </c:pt>
                <c:pt idx="219">
                  <c:v>43789</c:v>
                </c:pt>
                <c:pt idx="220">
                  <c:v>43790</c:v>
                </c:pt>
                <c:pt idx="221">
                  <c:v>43791</c:v>
                </c:pt>
                <c:pt idx="222">
                  <c:v>43794</c:v>
                </c:pt>
                <c:pt idx="223">
                  <c:v>43795</c:v>
                </c:pt>
                <c:pt idx="224">
                  <c:v>43796</c:v>
                </c:pt>
                <c:pt idx="225">
                  <c:v>43798</c:v>
                </c:pt>
                <c:pt idx="226">
                  <c:v>43801</c:v>
                </c:pt>
                <c:pt idx="227">
                  <c:v>43802</c:v>
                </c:pt>
                <c:pt idx="228">
                  <c:v>43803</c:v>
                </c:pt>
                <c:pt idx="229">
                  <c:v>43804</c:v>
                </c:pt>
                <c:pt idx="230">
                  <c:v>43805</c:v>
                </c:pt>
                <c:pt idx="231">
                  <c:v>43808</c:v>
                </c:pt>
                <c:pt idx="232">
                  <c:v>43809</c:v>
                </c:pt>
                <c:pt idx="233">
                  <c:v>43810</c:v>
                </c:pt>
                <c:pt idx="234">
                  <c:v>43811</c:v>
                </c:pt>
                <c:pt idx="235">
                  <c:v>43812</c:v>
                </c:pt>
                <c:pt idx="236">
                  <c:v>43815</c:v>
                </c:pt>
                <c:pt idx="237">
                  <c:v>43816</c:v>
                </c:pt>
                <c:pt idx="238">
                  <c:v>43817</c:v>
                </c:pt>
                <c:pt idx="239">
                  <c:v>43818</c:v>
                </c:pt>
                <c:pt idx="240">
                  <c:v>43819</c:v>
                </c:pt>
                <c:pt idx="241">
                  <c:v>43822</c:v>
                </c:pt>
                <c:pt idx="242">
                  <c:v>43823</c:v>
                </c:pt>
                <c:pt idx="243">
                  <c:v>43825</c:v>
                </c:pt>
                <c:pt idx="244">
                  <c:v>43826</c:v>
                </c:pt>
                <c:pt idx="245">
                  <c:v>43829</c:v>
                </c:pt>
                <c:pt idx="246">
                  <c:v>43830</c:v>
                </c:pt>
                <c:pt idx="247">
                  <c:v>43832</c:v>
                </c:pt>
                <c:pt idx="248">
                  <c:v>43833</c:v>
                </c:pt>
                <c:pt idx="249">
                  <c:v>43836</c:v>
                </c:pt>
                <c:pt idx="250">
                  <c:v>43837</c:v>
                </c:pt>
                <c:pt idx="251">
                  <c:v>43838</c:v>
                </c:pt>
                <c:pt idx="252">
                  <c:v>43839</c:v>
                </c:pt>
                <c:pt idx="253">
                  <c:v>43840</c:v>
                </c:pt>
                <c:pt idx="254">
                  <c:v>43843</c:v>
                </c:pt>
                <c:pt idx="255">
                  <c:v>43844</c:v>
                </c:pt>
                <c:pt idx="256">
                  <c:v>43845</c:v>
                </c:pt>
                <c:pt idx="257">
                  <c:v>43846</c:v>
                </c:pt>
                <c:pt idx="258">
                  <c:v>43847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43864</c:v>
                </c:pt>
                <c:pt idx="269">
                  <c:v>43865</c:v>
                </c:pt>
                <c:pt idx="270">
                  <c:v>43866</c:v>
                </c:pt>
                <c:pt idx="271">
                  <c:v>43867</c:v>
                </c:pt>
                <c:pt idx="272">
                  <c:v>43868</c:v>
                </c:pt>
                <c:pt idx="273">
                  <c:v>43871</c:v>
                </c:pt>
                <c:pt idx="274">
                  <c:v>43872</c:v>
                </c:pt>
                <c:pt idx="275">
                  <c:v>43873</c:v>
                </c:pt>
                <c:pt idx="276">
                  <c:v>43874</c:v>
                </c:pt>
                <c:pt idx="277">
                  <c:v>43875</c:v>
                </c:pt>
                <c:pt idx="278">
                  <c:v>43879</c:v>
                </c:pt>
                <c:pt idx="279">
                  <c:v>43880</c:v>
                </c:pt>
                <c:pt idx="280">
                  <c:v>43881</c:v>
                </c:pt>
                <c:pt idx="281">
                  <c:v>43882</c:v>
                </c:pt>
                <c:pt idx="282">
                  <c:v>43885</c:v>
                </c:pt>
                <c:pt idx="283">
                  <c:v>43886</c:v>
                </c:pt>
                <c:pt idx="284">
                  <c:v>43887</c:v>
                </c:pt>
                <c:pt idx="285">
                  <c:v>43888</c:v>
                </c:pt>
                <c:pt idx="286">
                  <c:v>43889</c:v>
                </c:pt>
                <c:pt idx="287">
                  <c:v>43892</c:v>
                </c:pt>
                <c:pt idx="288">
                  <c:v>43893</c:v>
                </c:pt>
                <c:pt idx="289">
                  <c:v>43894</c:v>
                </c:pt>
                <c:pt idx="290">
                  <c:v>43895</c:v>
                </c:pt>
                <c:pt idx="291">
                  <c:v>43896</c:v>
                </c:pt>
                <c:pt idx="292">
                  <c:v>43899</c:v>
                </c:pt>
                <c:pt idx="293">
                  <c:v>43900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43923</c:v>
                </c:pt>
                <c:pt idx="311">
                  <c:v>43924</c:v>
                </c:pt>
                <c:pt idx="312">
                  <c:v>43927</c:v>
                </c:pt>
                <c:pt idx="313">
                  <c:v>43928</c:v>
                </c:pt>
                <c:pt idx="314">
                  <c:v>43929</c:v>
                </c:pt>
                <c:pt idx="315">
                  <c:v>43930</c:v>
                </c:pt>
                <c:pt idx="316">
                  <c:v>43934</c:v>
                </c:pt>
                <c:pt idx="317">
                  <c:v>43935</c:v>
                </c:pt>
                <c:pt idx="318">
                  <c:v>43936</c:v>
                </c:pt>
                <c:pt idx="319">
                  <c:v>43937</c:v>
                </c:pt>
                <c:pt idx="320">
                  <c:v>43938</c:v>
                </c:pt>
                <c:pt idx="321">
                  <c:v>43941</c:v>
                </c:pt>
                <c:pt idx="322">
                  <c:v>43942</c:v>
                </c:pt>
                <c:pt idx="323">
                  <c:v>43943</c:v>
                </c:pt>
                <c:pt idx="324">
                  <c:v>43944</c:v>
                </c:pt>
                <c:pt idx="325">
                  <c:v>43945</c:v>
                </c:pt>
                <c:pt idx="326">
                  <c:v>43948</c:v>
                </c:pt>
                <c:pt idx="327">
                  <c:v>43949</c:v>
                </c:pt>
                <c:pt idx="328">
                  <c:v>43950</c:v>
                </c:pt>
                <c:pt idx="329">
                  <c:v>43951</c:v>
                </c:pt>
                <c:pt idx="330">
                  <c:v>43952</c:v>
                </c:pt>
                <c:pt idx="331">
                  <c:v>43955</c:v>
                </c:pt>
                <c:pt idx="332">
                  <c:v>43956</c:v>
                </c:pt>
                <c:pt idx="333">
                  <c:v>43957</c:v>
                </c:pt>
                <c:pt idx="334">
                  <c:v>43958</c:v>
                </c:pt>
                <c:pt idx="335">
                  <c:v>43959</c:v>
                </c:pt>
                <c:pt idx="336">
                  <c:v>43962</c:v>
                </c:pt>
                <c:pt idx="337">
                  <c:v>43963</c:v>
                </c:pt>
                <c:pt idx="338">
                  <c:v>43964</c:v>
                </c:pt>
                <c:pt idx="339">
                  <c:v>43965</c:v>
                </c:pt>
                <c:pt idx="340">
                  <c:v>43966</c:v>
                </c:pt>
                <c:pt idx="341">
                  <c:v>43969</c:v>
                </c:pt>
                <c:pt idx="342">
                  <c:v>43970</c:v>
                </c:pt>
                <c:pt idx="343">
                  <c:v>43971</c:v>
                </c:pt>
                <c:pt idx="344">
                  <c:v>43972</c:v>
                </c:pt>
                <c:pt idx="345">
                  <c:v>43973</c:v>
                </c:pt>
                <c:pt idx="346">
                  <c:v>43977</c:v>
                </c:pt>
                <c:pt idx="347">
                  <c:v>43978</c:v>
                </c:pt>
                <c:pt idx="348">
                  <c:v>43979</c:v>
                </c:pt>
                <c:pt idx="349">
                  <c:v>43980</c:v>
                </c:pt>
                <c:pt idx="350">
                  <c:v>43983</c:v>
                </c:pt>
                <c:pt idx="351">
                  <c:v>43984</c:v>
                </c:pt>
                <c:pt idx="352">
                  <c:v>43985</c:v>
                </c:pt>
                <c:pt idx="353">
                  <c:v>43986</c:v>
                </c:pt>
                <c:pt idx="354">
                  <c:v>43987</c:v>
                </c:pt>
                <c:pt idx="355">
                  <c:v>43990</c:v>
                </c:pt>
                <c:pt idx="356">
                  <c:v>43991</c:v>
                </c:pt>
                <c:pt idx="357">
                  <c:v>43992</c:v>
                </c:pt>
                <c:pt idx="358">
                  <c:v>43993</c:v>
                </c:pt>
                <c:pt idx="359">
                  <c:v>43994</c:v>
                </c:pt>
                <c:pt idx="360">
                  <c:v>43997</c:v>
                </c:pt>
                <c:pt idx="361">
                  <c:v>43998</c:v>
                </c:pt>
                <c:pt idx="362">
                  <c:v>43999</c:v>
                </c:pt>
                <c:pt idx="363">
                  <c:v>44000</c:v>
                </c:pt>
                <c:pt idx="364">
                  <c:v>44001</c:v>
                </c:pt>
                <c:pt idx="365">
                  <c:v>44004</c:v>
                </c:pt>
                <c:pt idx="366">
                  <c:v>44005</c:v>
                </c:pt>
                <c:pt idx="367">
                  <c:v>44006</c:v>
                </c:pt>
                <c:pt idx="368">
                  <c:v>44007</c:v>
                </c:pt>
                <c:pt idx="369">
                  <c:v>44008</c:v>
                </c:pt>
                <c:pt idx="370">
                  <c:v>44011</c:v>
                </c:pt>
                <c:pt idx="371">
                  <c:v>44012</c:v>
                </c:pt>
                <c:pt idx="372">
                  <c:v>44013</c:v>
                </c:pt>
                <c:pt idx="373">
                  <c:v>44014</c:v>
                </c:pt>
                <c:pt idx="374">
                  <c:v>44018</c:v>
                </c:pt>
                <c:pt idx="375">
                  <c:v>44019</c:v>
                </c:pt>
                <c:pt idx="376">
                  <c:v>44020</c:v>
                </c:pt>
                <c:pt idx="377">
                  <c:v>44021</c:v>
                </c:pt>
                <c:pt idx="378">
                  <c:v>44022</c:v>
                </c:pt>
                <c:pt idx="379">
                  <c:v>44025</c:v>
                </c:pt>
                <c:pt idx="380">
                  <c:v>44026</c:v>
                </c:pt>
                <c:pt idx="381">
                  <c:v>44027</c:v>
                </c:pt>
                <c:pt idx="382">
                  <c:v>44028</c:v>
                </c:pt>
                <c:pt idx="383">
                  <c:v>44029</c:v>
                </c:pt>
                <c:pt idx="384">
                  <c:v>44032</c:v>
                </c:pt>
                <c:pt idx="385">
                  <c:v>44033</c:v>
                </c:pt>
                <c:pt idx="386">
                  <c:v>44034</c:v>
                </c:pt>
                <c:pt idx="387">
                  <c:v>44035</c:v>
                </c:pt>
                <c:pt idx="388">
                  <c:v>44036</c:v>
                </c:pt>
                <c:pt idx="389">
                  <c:v>44039</c:v>
                </c:pt>
                <c:pt idx="390">
                  <c:v>44040</c:v>
                </c:pt>
                <c:pt idx="391">
                  <c:v>44041</c:v>
                </c:pt>
                <c:pt idx="392">
                  <c:v>44042</c:v>
                </c:pt>
                <c:pt idx="393">
                  <c:v>44043</c:v>
                </c:pt>
                <c:pt idx="394">
                  <c:v>44046</c:v>
                </c:pt>
                <c:pt idx="395">
                  <c:v>44047</c:v>
                </c:pt>
                <c:pt idx="396">
                  <c:v>44048</c:v>
                </c:pt>
                <c:pt idx="397">
                  <c:v>44049</c:v>
                </c:pt>
                <c:pt idx="398">
                  <c:v>44050</c:v>
                </c:pt>
                <c:pt idx="399">
                  <c:v>44053</c:v>
                </c:pt>
                <c:pt idx="400">
                  <c:v>44054</c:v>
                </c:pt>
                <c:pt idx="401">
                  <c:v>44055</c:v>
                </c:pt>
                <c:pt idx="402">
                  <c:v>44056</c:v>
                </c:pt>
                <c:pt idx="403">
                  <c:v>44057</c:v>
                </c:pt>
                <c:pt idx="404">
                  <c:v>44060</c:v>
                </c:pt>
                <c:pt idx="405">
                  <c:v>44061</c:v>
                </c:pt>
                <c:pt idx="406">
                  <c:v>44062</c:v>
                </c:pt>
                <c:pt idx="407">
                  <c:v>44063</c:v>
                </c:pt>
                <c:pt idx="408">
                  <c:v>44064</c:v>
                </c:pt>
                <c:pt idx="409">
                  <c:v>44067</c:v>
                </c:pt>
                <c:pt idx="410">
                  <c:v>44068</c:v>
                </c:pt>
                <c:pt idx="411">
                  <c:v>44069</c:v>
                </c:pt>
                <c:pt idx="412">
                  <c:v>44070</c:v>
                </c:pt>
                <c:pt idx="413">
                  <c:v>44071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44082</c:v>
                </c:pt>
                <c:pt idx="420">
                  <c:v>44083</c:v>
                </c:pt>
                <c:pt idx="421">
                  <c:v>44084</c:v>
                </c:pt>
                <c:pt idx="422">
                  <c:v>44085</c:v>
                </c:pt>
                <c:pt idx="423">
                  <c:v>44088</c:v>
                </c:pt>
                <c:pt idx="424">
                  <c:v>44089</c:v>
                </c:pt>
                <c:pt idx="425">
                  <c:v>44090</c:v>
                </c:pt>
                <c:pt idx="426">
                  <c:v>44091</c:v>
                </c:pt>
                <c:pt idx="427">
                  <c:v>44092</c:v>
                </c:pt>
                <c:pt idx="428">
                  <c:v>44095</c:v>
                </c:pt>
                <c:pt idx="429">
                  <c:v>44096</c:v>
                </c:pt>
                <c:pt idx="430">
                  <c:v>44097</c:v>
                </c:pt>
                <c:pt idx="431">
                  <c:v>44098</c:v>
                </c:pt>
                <c:pt idx="432">
                  <c:v>44099</c:v>
                </c:pt>
                <c:pt idx="433">
                  <c:v>44102</c:v>
                </c:pt>
                <c:pt idx="434">
                  <c:v>44103</c:v>
                </c:pt>
                <c:pt idx="435">
                  <c:v>44104</c:v>
                </c:pt>
                <c:pt idx="436">
                  <c:v>44105</c:v>
                </c:pt>
                <c:pt idx="437">
                  <c:v>44106</c:v>
                </c:pt>
                <c:pt idx="438">
                  <c:v>44109</c:v>
                </c:pt>
                <c:pt idx="439">
                  <c:v>44110</c:v>
                </c:pt>
                <c:pt idx="440">
                  <c:v>44111</c:v>
                </c:pt>
                <c:pt idx="441">
                  <c:v>44112</c:v>
                </c:pt>
                <c:pt idx="442">
                  <c:v>44113</c:v>
                </c:pt>
                <c:pt idx="443">
                  <c:v>44116</c:v>
                </c:pt>
                <c:pt idx="444">
                  <c:v>44117</c:v>
                </c:pt>
                <c:pt idx="445">
                  <c:v>44118</c:v>
                </c:pt>
                <c:pt idx="446">
                  <c:v>44119</c:v>
                </c:pt>
                <c:pt idx="447">
                  <c:v>44120</c:v>
                </c:pt>
                <c:pt idx="448">
                  <c:v>44123</c:v>
                </c:pt>
                <c:pt idx="449">
                  <c:v>44124</c:v>
                </c:pt>
                <c:pt idx="450">
                  <c:v>44125</c:v>
                </c:pt>
                <c:pt idx="451">
                  <c:v>44126</c:v>
                </c:pt>
                <c:pt idx="452">
                  <c:v>44127</c:v>
                </c:pt>
                <c:pt idx="453">
                  <c:v>44130</c:v>
                </c:pt>
                <c:pt idx="454">
                  <c:v>44131</c:v>
                </c:pt>
                <c:pt idx="455">
                  <c:v>44132</c:v>
                </c:pt>
                <c:pt idx="456">
                  <c:v>44133</c:v>
                </c:pt>
                <c:pt idx="457">
                  <c:v>44134</c:v>
                </c:pt>
              </c:numCache>
            </c:numRef>
          </c:cat>
          <c:val>
            <c:numRef>
              <c:f>'Stock Price'!$D$3:$D$460</c:f>
              <c:numCache>
                <c:formatCode>General</c:formatCode>
                <c:ptCount val="458"/>
                <c:pt idx="0">
                  <c:v>19.2</c:v>
                </c:pt>
                <c:pt idx="1">
                  <c:v>4.4000000000000004</c:v>
                </c:pt>
                <c:pt idx="2">
                  <c:v>20.2</c:v>
                </c:pt>
                <c:pt idx="3">
                  <c:v>32.200000000000003</c:v>
                </c:pt>
                <c:pt idx="4">
                  <c:v>30</c:v>
                </c:pt>
                <c:pt idx="5">
                  <c:v>13.4</c:v>
                </c:pt>
                <c:pt idx="6">
                  <c:v>13</c:v>
                </c:pt>
                <c:pt idx="7">
                  <c:v>33.700000000000003</c:v>
                </c:pt>
                <c:pt idx="8">
                  <c:v>28.1</c:v>
                </c:pt>
                <c:pt idx="9">
                  <c:v>185.2</c:v>
                </c:pt>
                <c:pt idx="10">
                  <c:v>63</c:v>
                </c:pt>
                <c:pt idx="11">
                  <c:v>46.4</c:v>
                </c:pt>
                <c:pt idx="12">
                  <c:v>19.2</c:v>
                </c:pt>
                <c:pt idx="13">
                  <c:v>5.6</c:v>
                </c:pt>
                <c:pt idx="14">
                  <c:v>10.4</c:v>
                </c:pt>
                <c:pt idx="15">
                  <c:v>19.899999999999999</c:v>
                </c:pt>
                <c:pt idx="16">
                  <c:v>4.5999999999999996</c:v>
                </c:pt>
                <c:pt idx="17">
                  <c:v>5.9</c:v>
                </c:pt>
                <c:pt idx="18">
                  <c:v>9.6</c:v>
                </c:pt>
                <c:pt idx="19">
                  <c:v>3.4</c:v>
                </c:pt>
                <c:pt idx="20">
                  <c:v>5.9</c:v>
                </c:pt>
                <c:pt idx="21">
                  <c:v>19.8</c:v>
                </c:pt>
                <c:pt idx="22">
                  <c:v>2.6</c:v>
                </c:pt>
                <c:pt idx="23">
                  <c:v>13.2</c:v>
                </c:pt>
                <c:pt idx="24">
                  <c:v>12</c:v>
                </c:pt>
                <c:pt idx="25">
                  <c:v>73.7</c:v>
                </c:pt>
                <c:pt idx="26">
                  <c:v>12.5</c:v>
                </c:pt>
                <c:pt idx="27">
                  <c:v>17</c:v>
                </c:pt>
                <c:pt idx="28">
                  <c:v>44.3</c:v>
                </c:pt>
                <c:pt idx="29">
                  <c:v>46.4</c:v>
                </c:pt>
                <c:pt idx="30">
                  <c:v>16.8</c:v>
                </c:pt>
                <c:pt idx="31">
                  <c:v>14.4</c:v>
                </c:pt>
                <c:pt idx="32">
                  <c:v>6.6</c:v>
                </c:pt>
                <c:pt idx="33">
                  <c:v>6.5</c:v>
                </c:pt>
                <c:pt idx="34">
                  <c:v>7</c:v>
                </c:pt>
                <c:pt idx="35">
                  <c:v>8.1999999999999993</c:v>
                </c:pt>
                <c:pt idx="36">
                  <c:v>26.5</c:v>
                </c:pt>
                <c:pt idx="37">
                  <c:v>11</c:v>
                </c:pt>
                <c:pt idx="38">
                  <c:v>14.8</c:v>
                </c:pt>
                <c:pt idx="39">
                  <c:v>13.7</c:v>
                </c:pt>
                <c:pt idx="40">
                  <c:v>7</c:v>
                </c:pt>
                <c:pt idx="41">
                  <c:v>23.2</c:v>
                </c:pt>
                <c:pt idx="42">
                  <c:v>5.5</c:v>
                </c:pt>
                <c:pt idx="43">
                  <c:v>9.4</c:v>
                </c:pt>
                <c:pt idx="44">
                  <c:v>3.6</c:v>
                </c:pt>
                <c:pt idx="45">
                  <c:v>7.7</c:v>
                </c:pt>
                <c:pt idx="46">
                  <c:v>9.1999999999999993</c:v>
                </c:pt>
                <c:pt idx="47">
                  <c:v>8.4</c:v>
                </c:pt>
                <c:pt idx="48">
                  <c:v>2.9</c:v>
                </c:pt>
                <c:pt idx="49">
                  <c:v>6.6</c:v>
                </c:pt>
                <c:pt idx="50">
                  <c:v>7</c:v>
                </c:pt>
                <c:pt idx="51">
                  <c:v>1.2</c:v>
                </c:pt>
                <c:pt idx="52">
                  <c:v>75.599999999999994</c:v>
                </c:pt>
                <c:pt idx="53">
                  <c:v>29.3</c:v>
                </c:pt>
                <c:pt idx="54">
                  <c:v>17.600000000000001</c:v>
                </c:pt>
                <c:pt idx="55">
                  <c:v>5.4</c:v>
                </c:pt>
                <c:pt idx="56">
                  <c:v>4.4000000000000004</c:v>
                </c:pt>
                <c:pt idx="57">
                  <c:v>4.3</c:v>
                </c:pt>
                <c:pt idx="58">
                  <c:v>13.1</c:v>
                </c:pt>
                <c:pt idx="59">
                  <c:v>3.5</c:v>
                </c:pt>
                <c:pt idx="60">
                  <c:v>1.3</c:v>
                </c:pt>
                <c:pt idx="61">
                  <c:v>3.7</c:v>
                </c:pt>
                <c:pt idx="62">
                  <c:v>3.9</c:v>
                </c:pt>
                <c:pt idx="63">
                  <c:v>2.5</c:v>
                </c:pt>
                <c:pt idx="64">
                  <c:v>1.8</c:v>
                </c:pt>
                <c:pt idx="65">
                  <c:v>4.3</c:v>
                </c:pt>
                <c:pt idx="66">
                  <c:v>2.9</c:v>
                </c:pt>
                <c:pt idx="67">
                  <c:v>4.7</c:v>
                </c:pt>
                <c:pt idx="68">
                  <c:v>9.8000000000000007</c:v>
                </c:pt>
                <c:pt idx="69">
                  <c:v>2.9</c:v>
                </c:pt>
                <c:pt idx="70">
                  <c:v>2.4</c:v>
                </c:pt>
                <c:pt idx="71">
                  <c:v>32.700000000000003</c:v>
                </c:pt>
                <c:pt idx="72">
                  <c:v>6.4</c:v>
                </c:pt>
                <c:pt idx="73">
                  <c:v>8.8000000000000007</c:v>
                </c:pt>
                <c:pt idx="74">
                  <c:v>4.7</c:v>
                </c:pt>
                <c:pt idx="75">
                  <c:v>20.2</c:v>
                </c:pt>
                <c:pt idx="76">
                  <c:v>3</c:v>
                </c:pt>
                <c:pt idx="77">
                  <c:v>5.9</c:v>
                </c:pt>
                <c:pt idx="78">
                  <c:v>22.9</c:v>
                </c:pt>
                <c:pt idx="79">
                  <c:v>5.8</c:v>
                </c:pt>
                <c:pt idx="80">
                  <c:v>6.6</c:v>
                </c:pt>
                <c:pt idx="81">
                  <c:v>16.8</c:v>
                </c:pt>
                <c:pt idx="82">
                  <c:v>5.7</c:v>
                </c:pt>
                <c:pt idx="83">
                  <c:v>10.8</c:v>
                </c:pt>
                <c:pt idx="84">
                  <c:v>8.5</c:v>
                </c:pt>
                <c:pt idx="85">
                  <c:v>5</c:v>
                </c:pt>
                <c:pt idx="86">
                  <c:v>3.7</c:v>
                </c:pt>
                <c:pt idx="87">
                  <c:v>3</c:v>
                </c:pt>
                <c:pt idx="88">
                  <c:v>2</c:v>
                </c:pt>
                <c:pt idx="89">
                  <c:v>5.8</c:v>
                </c:pt>
                <c:pt idx="90">
                  <c:v>15.9</c:v>
                </c:pt>
                <c:pt idx="91">
                  <c:v>6</c:v>
                </c:pt>
                <c:pt idx="92">
                  <c:v>4.4000000000000004</c:v>
                </c:pt>
                <c:pt idx="93">
                  <c:v>5.6</c:v>
                </c:pt>
                <c:pt idx="94">
                  <c:v>4.7</c:v>
                </c:pt>
                <c:pt idx="95">
                  <c:v>20.8</c:v>
                </c:pt>
                <c:pt idx="96">
                  <c:v>5.6</c:v>
                </c:pt>
                <c:pt idx="97">
                  <c:v>1.2</c:v>
                </c:pt>
                <c:pt idx="98">
                  <c:v>10.9</c:v>
                </c:pt>
                <c:pt idx="99">
                  <c:v>3.9</c:v>
                </c:pt>
                <c:pt idx="100">
                  <c:v>81.3</c:v>
                </c:pt>
                <c:pt idx="101">
                  <c:v>18.3</c:v>
                </c:pt>
                <c:pt idx="102">
                  <c:v>77.400000000000006</c:v>
                </c:pt>
                <c:pt idx="103">
                  <c:v>25.9</c:v>
                </c:pt>
                <c:pt idx="104">
                  <c:v>42</c:v>
                </c:pt>
                <c:pt idx="105">
                  <c:v>316.7</c:v>
                </c:pt>
                <c:pt idx="106">
                  <c:v>303.10000000000002</c:v>
                </c:pt>
                <c:pt idx="107">
                  <c:v>209.5</c:v>
                </c:pt>
                <c:pt idx="108">
                  <c:v>18.100000000000001</c:v>
                </c:pt>
                <c:pt idx="109">
                  <c:v>10.7</c:v>
                </c:pt>
                <c:pt idx="110">
                  <c:v>13.9</c:v>
                </c:pt>
                <c:pt idx="111">
                  <c:v>10.9</c:v>
                </c:pt>
                <c:pt idx="112">
                  <c:v>7.5</c:v>
                </c:pt>
                <c:pt idx="113">
                  <c:v>6.6</c:v>
                </c:pt>
                <c:pt idx="114">
                  <c:v>17.399999999999999</c:v>
                </c:pt>
                <c:pt idx="115">
                  <c:v>16.3</c:v>
                </c:pt>
                <c:pt idx="116">
                  <c:v>8.1</c:v>
                </c:pt>
                <c:pt idx="117">
                  <c:v>3.3</c:v>
                </c:pt>
                <c:pt idx="118">
                  <c:v>9.5</c:v>
                </c:pt>
                <c:pt idx="119">
                  <c:v>4.5</c:v>
                </c:pt>
                <c:pt idx="120">
                  <c:v>3.7</c:v>
                </c:pt>
                <c:pt idx="121">
                  <c:v>5.9</c:v>
                </c:pt>
                <c:pt idx="122">
                  <c:v>6.5</c:v>
                </c:pt>
                <c:pt idx="123">
                  <c:v>16.100000000000001</c:v>
                </c:pt>
                <c:pt idx="124">
                  <c:v>3.2</c:v>
                </c:pt>
                <c:pt idx="125">
                  <c:v>6</c:v>
                </c:pt>
                <c:pt idx="126">
                  <c:v>3.5</c:v>
                </c:pt>
                <c:pt idx="127">
                  <c:v>4.7</c:v>
                </c:pt>
                <c:pt idx="128">
                  <c:v>231.7</c:v>
                </c:pt>
                <c:pt idx="129">
                  <c:v>11.6</c:v>
                </c:pt>
                <c:pt idx="130">
                  <c:v>5.5</c:v>
                </c:pt>
                <c:pt idx="131">
                  <c:v>15.8</c:v>
                </c:pt>
                <c:pt idx="132">
                  <c:v>52</c:v>
                </c:pt>
                <c:pt idx="133">
                  <c:v>23.3</c:v>
                </c:pt>
                <c:pt idx="134">
                  <c:v>16.2</c:v>
                </c:pt>
                <c:pt idx="135">
                  <c:v>35</c:v>
                </c:pt>
                <c:pt idx="136">
                  <c:v>16.100000000000001</c:v>
                </c:pt>
                <c:pt idx="137">
                  <c:v>9.6999999999999993</c:v>
                </c:pt>
                <c:pt idx="138">
                  <c:v>29.6</c:v>
                </c:pt>
                <c:pt idx="139">
                  <c:v>17.2</c:v>
                </c:pt>
                <c:pt idx="140">
                  <c:v>6.3</c:v>
                </c:pt>
                <c:pt idx="141">
                  <c:v>36.4</c:v>
                </c:pt>
                <c:pt idx="142">
                  <c:v>16.899999999999999</c:v>
                </c:pt>
                <c:pt idx="143">
                  <c:v>8.1999999999999993</c:v>
                </c:pt>
                <c:pt idx="144">
                  <c:v>8.5</c:v>
                </c:pt>
                <c:pt idx="145">
                  <c:v>21.2</c:v>
                </c:pt>
                <c:pt idx="146">
                  <c:v>20.5</c:v>
                </c:pt>
                <c:pt idx="147">
                  <c:v>21.5</c:v>
                </c:pt>
                <c:pt idx="148">
                  <c:v>15.3</c:v>
                </c:pt>
                <c:pt idx="149">
                  <c:v>13.9</c:v>
                </c:pt>
                <c:pt idx="150">
                  <c:v>102.1</c:v>
                </c:pt>
                <c:pt idx="151">
                  <c:v>32.6</c:v>
                </c:pt>
                <c:pt idx="152">
                  <c:v>15.4</c:v>
                </c:pt>
                <c:pt idx="153">
                  <c:v>10.199999999999999</c:v>
                </c:pt>
                <c:pt idx="154">
                  <c:v>4.5</c:v>
                </c:pt>
                <c:pt idx="155">
                  <c:v>10.7</c:v>
                </c:pt>
                <c:pt idx="156">
                  <c:v>5.5</c:v>
                </c:pt>
                <c:pt idx="157">
                  <c:v>15.9</c:v>
                </c:pt>
                <c:pt idx="158">
                  <c:v>33.5</c:v>
                </c:pt>
                <c:pt idx="159">
                  <c:v>9.6</c:v>
                </c:pt>
                <c:pt idx="160">
                  <c:v>5.5</c:v>
                </c:pt>
                <c:pt idx="161">
                  <c:v>15.3</c:v>
                </c:pt>
                <c:pt idx="162">
                  <c:v>13.7</c:v>
                </c:pt>
                <c:pt idx="163">
                  <c:v>9.9</c:v>
                </c:pt>
                <c:pt idx="164">
                  <c:v>6.1</c:v>
                </c:pt>
                <c:pt idx="165">
                  <c:v>6.4</c:v>
                </c:pt>
                <c:pt idx="166">
                  <c:v>4.9000000000000004</c:v>
                </c:pt>
                <c:pt idx="167">
                  <c:v>6.4</c:v>
                </c:pt>
                <c:pt idx="168">
                  <c:v>2.9</c:v>
                </c:pt>
                <c:pt idx="169">
                  <c:v>2.7</c:v>
                </c:pt>
                <c:pt idx="170">
                  <c:v>4.5999999999999996</c:v>
                </c:pt>
                <c:pt idx="171">
                  <c:v>16.3</c:v>
                </c:pt>
                <c:pt idx="172">
                  <c:v>95.5</c:v>
                </c:pt>
                <c:pt idx="173">
                  <c:v>172.8</c:v>
                </c:pt>
                <c:pt idx="174">
                  <c:v>176.7</c:v>
                </c:pt>
                <c:pt idx="175">
                  <c:v>90.2</c:v>
                </c:pt>
                <c:pt idx="176">
                  <c:v>408.1</c:v>
                </c:pt>
                <c:pt idx="177">
                  <c:v>31.5</c:v>
                </c:pt>
                <c:pt idx="178">
                  <c:v>26.1</c:v>
                </c:pt>
                <c:pt idx="179">
                  <c:v>11.9</c:v>
                </c:pt>
                <c:pt idx="180">
                  <c:v>19.3</c:v>
                </c:pt>
                <c:pt idx="181">
                  <c:v>19.2</c:v>
                </c:pt>
                <c:pt idx="182">
                  <c:v>24.5</c:v>
                </c:pt>
                <c:pt idx="183">
                  <c:v>38</c:v>
                </c:pt>
                <c:pt idx="184">
                  <c:v>40.299999999999997</c:v>
                </c:pt>
                <c:pt idx="185">
                  <c:v>41.7</c:v>
                </c:pt>
                <c:pt idx="186">
                  <c:v>35.200000000000003</c:v>
                </c:pt>
                <c:pt idx="187">
                  <c:v>21.6</c:v>
                </c:pt>
                <c:pt idx="188">
                  <c:v>19.5</c:v>
                </c:pt>
                <c:pt idx="189">
                  <c:v>14.2</c:v>
                </c:pt>
                <c:pt idx="190">
                  <c:v>11.7</c:v>
                </c:pt>
                <c:pt idx="191">
                  <c:v>21.1</c:v>
                </c:pt>
                <c:pt idx="192">
                  <c:v>13</c:v>
                </c:pt>
                <c:pt idx="193">
                  <c:v>31</c:v>
                </c:pt>
                <c:pt idx="194">
                  <c:v>21.4</c:v>
                </c:pt>
                <c:pt idx="195">
                  <c:v>33</c:v>
                </c:pt>
                <c:pt idx="196">
                  <c:v>34.200000000000003</c:v>
                </c:pt>
                <c:pt idx="197">
                  <c:v>14.9</c:v>
                </c:pt>
                <c:pt idx="198">
                  <c:v>20.3</c:v>
                </c:pt>
                <c:pt idx="199">
                  <c:v>65.599999999999994</c:v>
                </c:pt>
                <c:pt idx="200">
                  <c:v>87.7</c:v>
                </c:pt>
                <c:pt idx="201">
                  <c:v>60.1</c:v>
                </c:pt>
                <c:pt idx="202">
                  <c:v>27.6</c:v>
                </c:pt>
                <c:pt idx="203">
                  <c:v>72.099999999999994</c:v>
                </c:pt>
                <c:pt idx="204">
                  <c:v>16.5</c:v>
                </c:pt>
                <c:pt idx="205">
                  <c:v>30.4</c:v>
                </c:pt>
                <c:pt idx="206">
                  <c:v>21.2</c:v>
                </c:pt>
                <c:pt idx="207">
                  <c:v>62.9</c:v>
                </c:pt>
                <c:pt idx="208">
                  <c:v>37</c:v>
                </c:pt>
                <c:pt idx="209">
                  <c:v>19.399999999999999</c:v>
                </c:pt>
                <c:pt idx="210">
                  <c:v>19</c:v>
                </c:pt>
                <c:pt idx="211">
                  <c:v>25.4</c:v>
                </c:pt>
                <c:pt idx="212">
                  <c:v>34.200000000000003</c:v>
                </c:pt>
                <c:pt idx="213">
                  <c:v>36.5</c:v>
                </c:pt>
                <c:pt idx="214">
                  <c:v>75</c:v>
                </c:pt>
                <c:pt idx="215">
                  <c:v>39.1</c:v>
                </c:pt>
                <c:pt idx="216">
                  <c:v>41.6</c:v>
                </c:pt>
                <c:pt idx="217">
                  <c:v>39.5</c:v>
                </c:pt>
                <c:pt idx="218">
                  <c:v>62.3</c:v>
                </c:pt>
                <c:pt idx="219">
                  <c:v>61.8</c:v>
                </c:pt>
                <c:pt idx="220">
                  <c:v>40.1</c:v>
                </c:pt>
                <c:pt idx="221">
                  <c:v>19.899999999999999</c:v>
                </c:pt>
                <c:pt idx="222">
                  <c:v>17.600000000000001</c:v>
                </c:pt>
                <c:pt idx="223">
                  <c:v>16</c:v>
                </c:pt>
                <c:pt idx="224">
                  <c:v>59.7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35.4</c:v>
                </c:pt>
                <c:pt idx="228">
                  <c:v>138.4</c:v>
                </c:pt>
                <c:pt idx="229">
                  <c:v>56</c:v>
                </c:pt>
                <c:pt idx="230">
                  <c:v>39.6</c:v>
                </c:pt>
                <c:pt idx="231">
                  <c:v>47.1</c:v>
                </c:pt>
                <c:pt idx="232">
                  <c:v>37.5</c:v>
                </c:pt>
                <c:pt idx="233">
                  <c:v>27.1</c:v>
                </c:pt>
                <c:pt idx="234">
                  <c:v>50.9</c:v>
                </c:pt>
                <c:pt idx="235">
                  <c:v>61</c:v>
                </c:pt>
                <c:pt idx="236">
                  <c:v>61</c:v>
                </c:pt>
                <c:pt idx="237">
                  <c:v>36.1</c:v>
                </c:pt>
                <c:pt idx="238">
                  <c:v>65.7</c:v>
                </c:pt>
                <c:pt idx="239">
                  <c:v>373.6</c:v>
                </c:pt>
                <c:pt idx="240">
                  <c:v>207</c:v>
                </c:pt>
                <c:pt idx="241">
                  <c:v>44.5</c:v>
                </c:pt>
                <c:pt idx="242">
                  <c:v>14.3</c:v>
                </c:pt>
                <c:pt idx="243">
                  <c:v>30.9</c:v>
                </c:pt>
                <c:pt idx="244">
                  <c:v>59.3</c:v>
                </c:pt>
                <c:pt idx="245">
                  <c:v>53.9</c:v>
                </c:pt>
                <c:pt idx="246">
                  <c:v>31</c:v>
                </c:pt>
                <c:pt idx="247">
                  <c:v>37.700000000000003</c:v>
                </c:pt>
                <c:pt idx="248">
                  <c:v>47.9</c:v>
                </c:pt>
                <c:pt idx="249">
                  <c:v>96.9</c:v>
                </c:pt>
                <c:pt idx="250">
                  <c:v>46.6</c:v>
                </c:pt>
                <c:pt idx="251">
                  <c:v>50.4</c:v>
                </c:pt>
                <c:pt idx="252">
                  <c:v>29.2</c:v>
                </c:pt>
                <c:pt idx="253">
                  <c:v>52.6</c:v>
                </c:pt>
                <c:pt idx="254">
                  <c:v>50.4</c:v>
                </c:pt>
                <c:pt idx="255">
                  <c:v>60.7</c:v>
                </c:pt>
                <c:pt idx="256">
                  <c:v>20.5</c:v>
                </c:pt>
                <c:pt idx="257">
                  <c:v>40.299999999999997</c:v>
                </c:pt>
                <c:pt idx="258">
                  <c:v>50.9</c:v>
                </c:pt>
                <c:pt idx="259">
                  <c:v>23.7</c:v>
                </c:pt>
                <c:pt idx="260">
                  <c:v>23.3</c:v>
                </c:pt>
                <c:pt idx="261">
                  <c:v>26.2</c:v>
                </c:pt>
                <c:pt idx="262">
                  <c:v>39.799999999999997</c:v>
                </c:pt>
                <c:pt idx="263">
                  <c:v>30.9</c:v>
                </c:pt>
                <c:pt idx="264">
                  <c:v>10.1</c:v>
                </c:pt>
                <c:pt idx="265">
                  <c:v>43.2</c:v>
                </c:pt>
                <c:pt idx="266">
                  <c:v>31.1</c:v>
                </c:pt>
                <c:pt idx="267">
                  <c:v>30.8</c:v>
                </c:pt>
                <c:pt idx="268">
                  <c:v>31.7</c:v>
                </c:pt>
                <c:pt idx="269">
                  <c:v>18.600000000000001</c:v>
                </c:pt>
                <c:pt idx="270">
                  <c:v>54.1</c:v>
                </c:pt>
                <c:pt idx="271">
                  <c:v>45</c:v>
                </c:pt>
                <c:pt idx="272">
                  <c:v>50.5</c:v>
                </c:pt>
                <c:pt idx="273">
                  <c:v>46.5</c:v>
                </c:pt>
                <c:pt idx="274">
                  <c:v>28.4</c:v>
                </c:pt>
                <c:pt idx="275">
                  <c:v>26.5</c:v>
                </c:pt>
                <c:pt idx="276">
                  <c:v>13.5</c:v>
                </c:pt>
                <c:pt idx="277">
                  <c:v>12.2</c:v>
                </c:pt>
                <c:pt idx="278">
                  <c:v>16.5</c:v>
                </c:pt>
                <c:pt idx="279">
                  <c:v>19.100000000000001</c:v>
                </c:pt>
                <c:pt idx="280">
                  <c:v>38.299999999999997</c:v>
                </c:pt>
                <c:pt idx="281">
                  <c:v>24.6</c:v>
                </c:pt>
                <c:pt idx="282">
                  <c:v>41.2</c:v>
                </c:pt>
                <c:pt idx="283">
                  <c:v>93.6</c:v>
                </c:pt>
                <c:pt idx="284">
                  <c:v>75.099999999999994</c:v>
                </c:pt>
                <c:pt idx="285">
                  <c:v>74.2</c:v>
                </c:pt>
                <c:pt idx="286">
                  <c:v>83.4</c:v>
                </c:pt>
                <c:pt idx="287">
                  <c:v>58.3</c:v>
                </c:pt>
                <c:pt idx="288">
                  <c:v>116.2</c:v>
                </c:pt>
                <c:pt idx="289">
                  <c:v>37.200000000000003</c:v>
                </c:pt>
                <c:pt idx="290">
                  <c:v>44</c:v>
                </c:pt>
                <c:pt idx="291">
                  <c:v>63.3</c:v>
                </c:pt>
                <c:pt idx="292">
                  <c:v>66.3</c:v>
                </c:pt>
                <c:pt idx="293">
                  <c:v>99.9</c:v>
                </c:pt>
                <c:pt idx="294">
                  <c:v>99.8</c:v>
                </c:pt>
                <c:pt idx="295">
                  <c:v>120</c:v>
                </c:pt>
                <c:pt idx="296">
                  <c:v>179.7</c:v>
                </c:pt>
                <c:pt idx="297">
                  <c:v>149.9</c:v>
                </c:pt>
                <c:pt idx="298">
                  <c:v>88.6</c:v>
                </c:pt>
                <c:pt idx="299">
                  <c:v>106.5</c:v>
                </c:pt>
                <c:pt idx="300">
                  <c:v>186.4</c:v>
                </c:pt>
                <c:pt idx="301">
                  <c:v>165.4</c:v>
                </c:pt>
                <c:pt idx="302">
                  <c:v>134.6</c:v>
                </c:pt>
                <c:pt idx="303">
                  <c:v>216.7</c:v>
                </c:pt>
                <c:pt idx="304">
                  <c:v>130.69999999999999</c:v>
                </c:pt>
                <c:pt idx="305">
                  <c:v>231.3</c:v>
                </c:pt>
                <c:pt idx="306">
                  <c:v>76.2</c:v>
                </c:pt>
                <c:pt idx="307">
                  <c:v>157.30000000000001</c:v>
                </c:pt>
                <c:pt idx="308">
                  <c:v>56.7</c:v>
                </c:pt>
                <c:pt idx="309">
                  <c:v>74.3</c:v>
                </c:pt>
                <c:pt idx="310">
                  <c:v>79.3</c:v>
                </c:pt>
                <c:pt idx="311">
                  <c:v>81.400000000000006</c:v>
                </c:pt>
                <c:pt idx="312">
                  <c:v>47.8</c:v>
                </c:pt>
                <c:pt idx="313">
                  <c:v>104.3</c:v>
                </c:pt>
                <c:pt idx="314">
                  <c:v>74.400000000000006</c:v>
                </c:pt>
                <c:pt idx="315">
                  <c:v>55.8</c:v>
                </c:pt>
                <c:pt idx="316">
                  <c:v>30.4</c:v>
                </c:pt>
                <c:pt idx="317">
                  <c:v>107.7</c:v>
                </c:pt>
                <c:pt idx="318">
                  <c:v>221.2</c:v>
                </c:pt>
                <c:pt idx="319">
                  <c:v>127.9</c:v>
                </c:pt>
                <c:pt idx="320">
                  <c:v>167.8</c:v>
                </c:pt>
                <c:pt idx="321">
                  <c:v>146.6</c:v>
                </c:pt>
                <c:pt idx="322">
                  <c:v>62</c:v>
                </c:pt>
                <c:pt idx="323">
                  <c:v>41.1</c:v>
                </c:pt>
                <c:pt idx="324">
                  <c:v>59.8</c:v>
                </c:pt>
                <c:pt idx="325">
                  <c:v>90.5</c:v>
                </c:pt>
                <c:pt idx="326">
                  <c:v>57.3</c:v>
                </c:pt>
                <c:pt idx="327">
                  <c:v>89.7</c:v>
                </c:pt>
                <c:pt idx="328">
                  <c:v>232.4</c:v>
                </c:pt>
                <c:pt idx="329">
                  <c:v>174.6</c:v>
                </c:pt>
                <c:pt idx="330">
                  <c:v>100.5</c:v>
                </c:pt>
                <c:pt idx="331">
                  <c:v>221.6</c:v>
                </c:pt>
                <c:pt idx="332">
                  <c:v>148.4</c:v>
                </c:pt>
                <c:pt idx="333">
                  <c:v>98.9</c:v>
                </c:pt>
                <c:pt idx="334">
                  <c:v>232.1</c:v>
                </c:pt>
                <c:pt idx="335">
                  <c:v>82</c:v>
                </c:pt>
                <c:pt idx="336">
                  <c:v>76.8</c:v>
                </c:pt>
                <c:pt idx="337">
                  <c:v>193.6</c:v>
                </c:pt>
                <c:pt idx="338">
                  <c:v>228</c:v>
                </c:pt>
                <c:pt idx="339">
                  <c:v>163.80000000000001</c:v>
                </c:pt>
                <c:pt idx="340">
                  <c:v>166.3</c:v>
                </c:pt>
                <c:pt idx="341">
                  <c:v>194.3</c:v>
                </c:pt>
                <c:pt idx="342">
                  <c:v>120.5</c:v>
                </c:pt>
                <c:pt idx="343">
                  <c:v>68.3</c:v>
                </c:pt>
                <c:pt idx="344">
                  <c:v>103.4</c:v>
                </c:pt>
                <c:pt idx="345">
                  <c:v>138</c:v>
                </c:pt>
                <c:pt idx="346">
                  <c:v>180.7</c:v>
                </c:pt>
                <c:pt idx="347">
                  <c:v>173.2</c:v>
                </c:pt>
                <c:pt idx="348">
                  <c:v>255.2</c:v>
                </c:pt>
                <c:pt idx="349">
                  <c:v>171.4</c:v>
                </c:pt>
                <c:pt idx="350">
                  <c:v>156.9</c:v>
                </c:pt>
                <c:pt idx="351">
                  <c:v>122.3</c:v>
                </c:pt>
                <c:pt idx="352">
                  <c:v>101.7</c:v>
                </c:pt>
                <c:pt idx="353">
                  <c:v>131.4</c:v>
                </c:pt>
                <c:pt idx="354">
                  <c:v>153.19999999999999</c:v>
                </c:pt>
                <c:pt idx="355">
                  <c:v>271.10000000000002</c:v>
                </c:pt>
                <c:pt idx="356">
                  <c:v>125.3</c:v>
                </c:pt>
                <c:pt idx="357">
                  <c:v>173.3</c:v>
                </c:pt>
                <c:pt idx="358">
                  <c:v>222.2</c:v>
                </c:pt>
                <c:pt idx="359">
                  <c:v>237.2</c:v>
                </c:pt>
                <c:pt idx="360">
                  <c:v>279.2</c:v>
                </c:pt>
                <c:pt idx="361">
                  <c:v>237.4</c:v>
                </c:pt>
                <c:pt idx="362">
                  <c:v>174.6</c:v>
                </c:pt>
                <c:pt idx="363">
                  <c:v>123.8</c:v>
                </c:pt>
                <c:pt idx="364">
                  <c:v>707.5</c:v>
                </c:pt>
                <c:pt idx="365">
                  <c:v>175.3</c:v>
                </c:pt>
                <c:pt idx="366">
                  <c:v>110.4</c:v>
                </c:pt>
                <c:pt idx="367">
                  <c:v>138.19999999999999</c:v>
                </c:pt>
                <c:pt idx="368">
                  <c:v>142.69999999999999</c:v>
                </c:pt>
                <c:pt idx="369">
                  <c:v>105.4</c:v>
                </c:pt>
                <c:pt idx="370">
                  <c:v>80.8</c:v>
                </c:pt>
                <c:pt idx="371">
                  <c:v>75.2</c:v>
                </c:pt>
                <c:pt idx="372">
                  <c:v>50</c:v>
                </c:pt>
                <c:pt idx="373">
                  <c:v>73.3</c:v>
                </c:pt>
                <c:pt idx="374">
                  <c:v>86.3</c:v>
                </c:pt>
                <c:pt idx="375">
                  <c:v>76.8</c:v>
                </c:pt>
                <c:pt idx="376">
                  <c:v>69.5</c:v>
                </c:pt>
                <c:pt idx="377">
                  <c:v>91.8</c:v>
                </c:pt>
                <c:pt idx="378">
                  <c:v>96.6</c:v>
                </c:pt>
                <c:pt idx="379">
                  <c:v>74.8</c:v>
                </c:pt>
                <c:pt idx="380">
                  <c:v>78.8</c:v>
                </c:pt>
                <c:pt idx="381">
                  <c:v>106.7</c:v>
                </c:pt>
                <c:pt idx="382">
                  <c:v>172</c:v>
                </c:pt>
                <c:pt idx="383">
                  <c:v>70.7</c:v>
                </c:pt>
                <c:pt idx="384">
                  <c:v>113</c:v>
                </c:pt>
                <c:pt idx="385">
                  <c:v>127.3</c:v>
                </c:pt>
                <c:pt idx="386">
                  <c:v>85.8</c:v>
                </c:pt>
                <c:pt idx="387">
                  <c:v>70.099999999999994</c:v>
                </c:pt>
                <c:pt idx="388">
                  <c:v>71.3</c:v>
                </c:pt>
                <c:pt idx="389">
                  <c:v>47.6</c:v>
                </c:pt>
                <c:pt idx="390">
                  <c:v>67.2</c:v>
                </c:pt>
                <c:pt idx="391">
                  <c:v>113.2</c:v>
                </c:pt>
                <c:pt idx="392">
                  <c:v>118.5</c:v>
                </c:pt>
                <c:pt idx="393">
                  <c:v>110.3</c:v>
                </c:pt>
                <c:pt idx="394">
                  <c:v>116.9</c:v>
                </c:pt>
                <c:pt idx="395">
                  <c:v>117.9</c:v>
                </c:pt>
                <c:pt idx="396">
                  <c:v>102.6</c:v>
                </c:pt>
                <c:pt idx="397">
                  <c:v>102.4</c:v>
                </c:pt>
                <c:pt idx="398">
                  <c:v>83.4</c:v>
                </c:pt>
                <c:pt idx="399">
                  <c:v>108.2</c:v>
                </c:pt>
                <c:pt idx="400">
                  <c:v>56.3</c:v>
                </c:pt>
                <c:pt idx="401">
                  <c:v>43.2</c:v>
                </c:pt>
                <c:pt idx="402">
                  <c:v>46.1</c:v>
                </c:pt>
                <c:pt idx="403">
                  <c:v>80.599999999999994</c:v>
                </c:pt>
                <c:pt idx="404">
                  <c:v>95.7</c:v>
                </c:pt>
                <c:pt idx="405">
                  <c:v>51.4</c:v>
                </c:pt>
                <c:pt idx="406">
                  <c:v>64.599999999999994</c:v>
                </c:pt>
                <c:pt idx="407">
                  <c:v>39.1</c:v>
                </c:pt>
                <c:pt idx="408">
                  <c:v>90.7</c:v>
                </c:pt>
                <c:pt idx="409">
                  <c:v>121.8</c:v>
                </c:pt>
                <c:pt idx="410">
                  <c:v>114.5</c:v>
                </c:pt>
                <c:pt idx="411">
                  <c:v>71.599999999999994</c:v>
                </c:pt>
                <c:pt idx="412">
                  <c:v>95.8</c:v>
                </c:pt>
                <c:pt idx="413">
                  <c:v>114.9</c:v>
                </c:pt>
                <c:pt idx="414">
                  <c:v>137.5</c:v>
                </c:pt>
                <c:pt idx="415">
                  <c:v>57.6</c:v>
                </c:pt>
                <c:pt idx="416">
                  <c:v>57.1</c:v>
                </c:pt>
                <c:pt idx="417">
                  <c:v>69.2</c:v>
                </c:pt>
                <c:pt idx="418">
                  <c:v>67</c:v>
                </c:pt>
                <c:pt idx="419">
                  <c:v>79.5</c:v>
                </c:pt>
                <c:pt idx="420">
                  <c:v>181.8</c:v>
                </c:pt>
                <c:pt idx="421">
                  <c:v>139.9</c:v>
                </c:pt>
                <c:pt idx="422">
                  <c:v>108.9</c:v>
                </c:pt>
                <c:pt idx="423">
                  <c:v>384.3</c:v>
                </c:pt>
                <c:pt idx="424">
                  <c:v>245.8</c:v>
                </c:pt>
                <c:pt idx="425">
                  <c:v>207.7</c:v>
                </c:pt>
                <c:pt idx="426">
                  <c:v>195.8</c:v>
                </c:pt>
                <c:pt idx="427">
                  <c:v>1317.5</c:v>
                </c:pt>
                <c:pt idx="428">
                  <c:v>188.1</c:v>
                </c:pt>
                <c:pt idx="429">
                  <c:v>142.80000000000001</c:v>
                </c:pt>
                <c:pt idx="430">
                  <c:v>170</c:v>
                </c:pt>
                <c:pt idx="431">
                  <c:v>94</c:v>
                </c:pt>
                <c:pt idx="432">
                  <c:v>110</c:v>
                </c:pt>
                <c:pt idx="433">
                  <c:v>118.7</c:v>
                </c:pt>
                <c:pt idx="434">
                  <c:v>137.5</c:v>
                </c:pt>
                <c:pt idx="435">
                  <c:v>128.9</c:v>
                </c:pt>
                <c:pt idx="436">
                  <c:v>154.9</c:v>
                </c:pt>
                <c:pt idx="437">
                  <c:v>103</c:v>
                </c:pt>
                <c:pt idx="438">
                  <c:v>113.1</c:v>
                </c:pt>
                <c:pt idx="439">
                  <c:v>119.4</c:v>
                </c:pt>
                <c:pt idx="440">
                  <c:v>74.599999999999994</c:v>
                </c:pt>
                <c:pt idx="441">
                  <c:v>96.9</c:v>
                </c:pt>
                <c:pt idx="442">
                  <c:v>115.2</c:v>
                </c:pt>
                <c:pt idx="443">
                  <c:v>82.4</c:v>
                </c:pt>
                <c:pt idx="444">
                  <c:v>68.3</c:v>
                </c:pt>
                <c:pt idx="445">
                  <c:v>67.599999999999994</c:v>
                </c:pt>
                <c:pt idx="446">
                  <c:v>73.099999999999994</c:v>
                </c:pt>
                <c:pt idx="447">
                  <c:v>66</c:v>
                </c:pt>
                <c:pt idx="448">
                  <c:v>99.3</c:v>
                </c:pt>
                <c:pt idx="449">
                  <c:v>79.8</c:v>
                </c:pt>
                <c:pt idx="450">
                  <c:v>56.9</c:v>
                </c:pt>
                <c:pt idx="451">
                  <c:v>69.5</c:v>
                </c:pt>
                <c:pt idx="452">
                  <c:v>57</c:v>
                </c:pt>
                <c:pt idx="453">
                  <c:v>54.4</c:v>
                </c:pt>
                <c:pt idx="454">
                  <c:v>59.7</c:v>
                </c:pt>
                <c:pt idx="455">
                  <c:v>72.2</c:v>
                </c:pt>
                <c:pt idx="456">
                  <c:v>52.2</c:v>
                </c:pt>
                <c:pt idx="457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6-4F57-98FD-ADD974A7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29730703"/>
        <c:axId val="1305856655"/>
      </c:barChart>
      <c:lineChart>
        <c:grouping val="standard"/>
        <c:varyColors val="0"/>
        <c:ser>
          <c:idx val="0"/>
          <c:order val="0"/>
          <c:tx>
            <c:strRef>
              <c:f>'Stock Price'!$C$2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'Stock Price'!$B$3:$B$460</c:f>
              <c:numCache>
                <c:formatCode>m/d/yyyy</c:formatCode>
                <c:ptCount val="458"/>
                <c:pt idx="0">
                  <c:v>43474</c:v>
                </c:pt>
                <c:pt idx="1">
                  <c:v>43475</c:v>
                </c:pt>
                <c:pt idx="2">
                  <c:v>43476</c:v>
                </c:pt>
                <c:pt idx="3">
                  <c:v>43479</c:v>
                </c:pt>
                <c:pt idx="4">
                  <c:v>43480</c:v>
                </c:pt>
                <c:pt idx="5">
                  <c:v>43481</c:v>
                </c:pt>
                <c:pt idx="6">
                  <c:v>43482</c:v>
                </c:pt>
                <c:pt idx="7">
                  <c:v>43483</c:v>
                </c:pt>
                <c:pt idx="8">
                  <c:v>43487</c:v>
                </c:pt>
                <c:pt idx="9">
                  <c:v>43488</c:v>
                </c:pt>
                <c:pt idx="10">
                  <c:v>43489</c:v>
                </c:pt>
                <c:pt idx="11">
                  <c:v>43490</c:v>
                </c:pt>
                <c:pt idx="12">
                  <c:v>43493</c:v>
                </c:pt>
                <c:pt idx="13">
                  <c:v>43494</c:v>
                </c:pt>
                <c:pt idx="14">
                  <c:v>43495</c:v>
                </c:pt>
                <c:pt idx="15">
                  <c:v>43496</c:v>
                </c:pt>
                <c:pt idx="16">
                  <c:v>43497</c:v>
                </c:pt>
                <c:pt idx="17">
                  <c:v>43500</c:v>
                </c:pt>
                <c:pt idx="18">
                  <c:v>43501</c:v>
                </c:pt>
                <c:pt idx="19">
                  <c:v>43502</c:v>
                </c:pt>
                <c:pt idx="20">
                  <c:v>43503</c:v>
                </c:pt>
                <c:pt idx="21">
                  <c:v>43504</c:v>
                </c:pt>
                <c:pt idx="22">
                  <c:v>43507</c:v>
                </c:pt>
                <c:pt idx="23">
                  <c:v>43508</c:v>
                </c:pt>
                <c:pt idx="24">
                  <c:v>43509</c:v>
                </c:pt>
                <c:pt idx="25">
                  <c:v>43510</c:v>
                </c:pt>
                <c:pt idx="26">
                  <c:v>43511</c:v>
                </c:pt>
                <c:pt idx="27">
                  <c:v>43515</c:v>
                </c:pt>
                <c:pt idx="28">
                  <c:v>43516</c:v>
                </c:pt>
                <c:pt idx="29">
                  <c:v>43517</c:v>
                </c:pt>
                <c:pt idx="30">
                  <c:v>43518</c:v>
                </c:pt>
                <c:pt idx="31">
                  <c:v>43521</c:v>
                </c:pt>
                <c:pt idx="32">
                  <c:v>43522</c:v>
                </c:pt>
                <c:pt idx="33">
                  <c:v>43523</c:v>
                </c:pt>
                <c:pt idx="34">
                  <c:v>43524</c:v>
                </c:pt>
                <c:pt idx="35">
                  <c:v>43525</c:v>
                </c:pt>
                <c:pt idx="36">
                  <c:v>43528</c:v>
                </c:pt>
                <c:pt idx="37">
                  <c:v>43529</c:v>
                </c:pt>
                <c:pt idx="38">
                  <c:v>43530</c:v>
                </c:pt>
                <c:pt idx="39">
                  <c:v>43531</c:v>
                </c:pt>
                <c:pt idx="40">
                  <c:v>43532</c:v>
                </c:pt>
                <c:pt idx="41">
                  <c:v>43535</c:v>
                </c:pt>
                <c:pt idx="42">
                  <c:v>43536</c:v>
                </c:pt>
                <c:pt idx="43">
                  <c:v>43537</c:v>
                </c:pt>
                <c:pt idx="44">
                  <c:v>43538</c:v>
                </c:pt>
                <c:pt idx="45">
                  <c:v>43539</c:v>
                </c:pt>
                <c:pt idx="46">
                  <c:v>43542</c:v>
                </c:pt>
                <c:pt idx="47">
                  <c:v>43543</c:v>
                </c:pt>
                <c:pt idx="48">
                  <c:v>43544</c:v>
                </c:pt>
                <c:pt idx="49">
                  <c:v>43545</c:v>
                </c:pt>
                <c:pt idx="50">
                  <c:v>43546</c:v>
                </c:pt>
                <c:pt idx="51">
                  <c:v>43549</c:v>
                </c:pt>
                <c:pt idx="52">
                  <c:v>43550</c:v>
                </c:pt>
                <c:pt idx="53">
                  <c:v>43551</c:v>
                </c:pt>
                <c:pt idx="54">
                  <c:v>43552</c:v>
                </c:pt>
                <c:pt idx="55">
                  <c:v>43553</c:v>
                </c:pt>
                <c:pt idx="56">
                  <c:v>43556</c:v>
                </c:pt>
                <c:pt idx="57">
                  <c:v>43557</c:v>
                </c:pt>
                <c:pt idx="58">
                  <c:v>43558</c:v>
                </c:pt>
                <c:pt idx="59">
                  <c:v>43559</c:v>
                </c:pt>
                <c:pt idx="60">
                  <c:v>43560</c:v>
                </c:pt>
                <c:pt idx="61">
                  <c:v>43563</c:v>
                </c:pt>
                <c:pt idx="62">
                  <c:v>43564</c:v>
                </c:pt>
                <c:pt idx="63">
                  <c:v>43565</c:v>
                </c:pt>
                <c:pt idx="64">
                  <c:v>43566</c:v>
                </c:pt>
                <c:pt idx="65">
                  <c:v>43567</c:v>
                </c:pt>
                <c:pt idx="66">
                  <c:v>43570</c:v>
                </c:pt>
                <c:pt idx="67">
                  <c:v>43571</c:v>
                </c:pt>
                <c:pt idx="68">
                  <c:v>43572</c:v>
                </c:pt>
                <c:pt idx="69">
                  <c:v>43573</c:v>
                </c:pt>
                <c:pt idx="70">
                  <c:v>43577</c:v>
                </c:pt>
                <c:pt idx="71">
                  <c:v>43578</c:v>
                </c:pt>
                <c:pt idx="72">
                  <c:v>43579</c:v>
                </c:pt>
                <c:pt idx="73">
                  <c:v>43580</c:v>
                </c:pt>
                <c:pt idx="74">
                  <c:v>43581</c:v>
                </c:pt>
                <c:pt idx="75">
                  <c:v>43584</c:v>
                </c:pt>
                <c:pt idx="76">
                  <c:v>43585</c:v>
                </c:pt>
                <c:pt idx="77">
                  <c:v>43586</c:v>
                </c:pt>
                <c:pt idx="78">
                  <c:v>43587</c:v>
                </c:pt>
                <c:pt idx="79">
                  <c:v>43588</c:v>
                </c:pt>
                <c:pt idx="80">
                  <c:v>43591</c:v>
                </c:pt>
                <c:pt idx="81">
                  <c:v>43592</c:v>
                </c:pt>
                <c:pt idx="82">
                  <c:v>43593</c:v>
                </c:pt>
                <c:pt idx="83">
                  <c:v>43594</c:v>
                </c:pt>
                <c:pt idx="84">
                  <c:v>43595</c:v>
                </c:pt>
                <c:pt idx="85">
                  <c:v>43598</c:v>
                </c:pt>
                <c:pt idx="86">
                  <c:v>43599</c:v>
                </c:pt>
                <c:pt idx="87">
                  <c:v>43600</c:v>
                </c:pt>
                <c:pt idx="88">
                  <c:v>43601</c:v>
                </c:pt>
                <c:pt idx="89">
                  <c:v>43602</c:v>
                </c:pt>
                <c:pt idx="90">
                  <c:v>43605</c:v>
                </c:pt>
                <c:pt idx="91">
                  <c:v>43606</c:v>
                </c:pt>
                <c:pt idx="92">
                  <c:v>43607</c:v>
                </c:pt>
                <c:pt idx="93">
                  <c:v>43608</c:v>
                </c:pt>
                <c:pt idx="94">
                  <c:v>43609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43623</c:v>
                </c:pt>
                <c:pt idx="104">
                  <c:v>43626</c:v>
                </c:pt>
                <c:pt idx="105">
                  <c:v>43627</c:v>
                </c:pt>
                <c:pt idx="106">
                  <c:v>43628</c:v>
                </c:pt>
                <c:pt idx="107">
                  <c:v>43629</c:v>
                </c:pt>
                <c:pt idx="108">
                  <c:v>43630</c:v>
                </c:pt>
                <c:pt idx="109">
                  <c:v>43633</c:v>
                </c:pt>
                <c:pt idx="110">
                  <c:v>43634</c:v>
                </c:pt>
                <c:pt idx="111">
                  <c:v>43635</c:v>
                </c:pt>
                <c:pt idx="112">
                  <c:v>43636</c:v>
                </c:pt>
                <c:pt idx="113">
                  <c:v>43637</c:v>
                </c:pt>
                <c:pt idx="114">
                  <c:v>43640</c:v>
                </c:pt>
                <c:pt idx="115">
                  <c:v>43641</c:v>
                </c:pt>
                <c:pt idx="116">
                  <c:v>43642</c:v>
                </c:pt>
                <c:pt idx="117">
                  <c:v>43643</c:v>
                </c:pt>
                <c:pt idx="118">
                  <c:v>43644</c:v>
                </c:pt>
                <c:pt idx="119">
                  <c:v>43647</c:v>
                </c:pt>
                <c:pt idx="120">
                  <c:v>43648</c:v>
                </c:pt>
                <c:pt idx="121">
                  <c:v>43649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43711</c:v>
                </c:pt>
                <c:pt idx="164">
                  <c:v>43712</c:v>
                </c:pt>
                <c:pt idx="165">
                  <c:v>43713</c:v>
                </c:pt>
                <c:pt idx="166">
                  <c:v>43714</c:v>
                </c:pt>
                <c:pt idx="167">
                  <c:v>43717</c:v>
                </c:pt>
                <c:pt idx="168">
                  <c:v>43718</c:v>
                </c:pt>
                <c:pt idx="169">
                  <c:v>43719</c:v>
                </c:pt>
                <c:pt idx="170">
                  <c:v>43720</c:v>
                </c:pt>
                <c:pt idx="171">
                  <c:v>43721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43739</c:v>
                </c:pt>
                <c:pt idx="184">
                  <c:v>43740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43746</c:v>
                </c:pt>
                <c:pt idx="189">
                  <c:v>43747</c:v>
                </c:pt>
                <c:pt idx="190">
                  <c:v>43748</c:v>
                </c:pt>
                <c:pt idx="191">
                  <c:v>43749</c:v>
                </c:pt>
                <c:pt idx="192">
                  <c:v>43752</c:v>
                </c:pt>
                <c:pt idx="193">
                  <c:v>43753</c:v>
                </c:pt>
                <c:pt idx="194">
                  <c:v>43754</c:v>
                </c:pt>
                <c:pt idx="195">
                  <c:v>43755</c:v>
                </c:pt>
                <c:pt idx="196">
                  <c:v>43756</c:v>
                </c:pt>
                <c:pt idx="197">
                  <c:v>43759</c:v>
                </c:pt>
                <c:pt idx="198">
                  <c:v>43760</c:v>
                </c:pt>
                <c:pt idx="199">
                  <c:v>43761</c:v>
                </c:pt>
                <c:pt idx="200">
                  <c:v>43762</c:v>
                </c:pt>
                <c:pt idx="201">
                  <c:v>43763</c:v>
                </c:pt>
                <c:pt idx="202">
                  <c:v>43766</c:v>
                </c:pt>
                <c:pt idx="203">
                  <c:v>43767</c:v>
                </c:pt>
                <c:pt idx="204">
                  <c:v>43768</c:v>
                </c:pt>
                <c:pt idx="205">
                  <c:v>43769</c:v>
                </c:pt>
                <c:pt idx="206">
                  <c:v>43770</c:v>
                </c:pt>
                <c:pt idx="207">
                  <c:v>43773</c:v>
                </c:pt>
                <c:pt idx="208">
                  <c:v>43774</c:v>
                </c:pt>
                <c:pt idx="209">
                  <c:v>43775</c:v>
                </c:pt>
                <c:pt idx="210">
                  <c:v>43776</c:v>
                </c:pt>
                <c:pt idx="211">
                  <c:v>43777</c:v>
                </c:pt>
                <c:pt idx="212">
                  <c:v>43780</c:v>
                </c:pt>
                <c:pt idx="213">
                  <c:v>43781</c:v>
                </c:pt>
                <c:pt idx="214">
                  <c:v>43782</c:v>
                </c:pt>
                <c:pt idx="215">
                  <c:v>43783</c:v>
                </c:pt>
                <c:pt idx="216">
                  <c:v>43784</c:v>
                </c:pt>
                <c:pt idx="217">
                  <c:v>43787</c:v>
                </c:pt>
                <c:pt idx="218">
                  <c:v>43788</c:v>
                </c:pt>
                <c:pt idx="219">
                  <c:v>43789</c:v>
                </c:pt>
                <c:pt idx="220">
                  <c:v>43790</c:v>
                </c:pt>
                <c:pt idx="221">
                  <c:v>43791</c:v>
                </c:pt>
                <c:pt idx="222">
                  <c:v>43794</c:v>
                </c:pt>
                <c:pt idx="223">
                  <c:v>43795</c:v>
                </c:pt>
                <c:pt idx="224">
                  <c:v>43796</c:v>
                </c:pt>
                <c:pt idx="225">
                  <c:v>43798</c:v>
                </c:pt>
                <c:pt idx="226">
                  <c:v>43801</c:v>
                </c:pt>
                <c:pt idx="227">
                  <c:v>43802</c:v>
                </c:pt>
                <c:pt idx="228">
                  <c:v>43803</c:v>
                </c:pt>
                <c:pt idx="229">
                  <c:v>43804</c:v>
                </c:pt>
                <c:pt idx="230">
                  <c:v>43805</c:v>
                </c:pt>
                <c:pt idx="231">
                  <c:v>43808</c:v>
                </c:pt>
                <c:pt idx="232">
                  <c:v>43809</c:v>
                </c:pt>
                <c:pt idx="233">
                  <c:v>43810</c:v>
                </c:pt>
                <c:pt idx="234">
                  <c:v>43811</c:v>
                </c:pt>
                <c:pt idx="235">
                  <c:v>43812</c:v>
                </c:pt>
                <c:pt idx="236">
                  <c:v>43815</c:v>
                </c:pt>
                <c:pt idx="237">
                  <c:v>43816</c:v>
                </c:pt>
                <c:pt idx="238">
                  <c:v>43817</c:v>
                </c:pt>
                <c:pt idx="239">
                  <c:v>43818</c:v>
                </c:pt>
                <c:pt idx="240">
                  <c:v>43819</c:v>
                </c:pt>
                <c:pt idx="241">
                  <c:v>43822</c:v>
                </c:pt>
                <c:pt idx="242">
                  <c:v>43823</c:v>
                </c:pt>
                <c:pt idx="243">
                  <c:v>43825</c:v>
                </c:pt>
                <c:pt idx="244">
                  <c:v>43826</c:v>
                </c:pt>
                <c:pt idx="245">
                  <c:v>43829</c:v>
                </c:pt>
                <c:pt idx="246">
                  <c:v>43830</c:v>
                </c:pt>
                <c:pt idx="247">
                  <c:v>43832</c:v>
                </c:pt>
                <c:pt idx="248">
                  <c:v>43833</c:v>
                </c:pt>
                <c:pt idx="249">
                  <c:v>43836</c:v>
                </c:pt>
                <c:pt idx="250">
                  <c:v>43837</c:v>
                </c:pt>
                <c:pt idx="251">
                  <c:v>43838</c:v>
                </c:pt>
                <c:pt idx="252">
                  <c:v>43839</c:v>
                </c:pt>
                <c:pt idx="253">
                  <c:v>43840</c:v>
                </c:pt>
                <c:pt idx="254">
                  <c:v>43843</c:v>
                </c:pt>
                <c:pt idx="255">
                  <c:v>43844</c:v>
                </c:pt>
                <c:pt idx="256">
                  <c:v>43845</c:v>
                </c:pt>
                <c:pt idx="257">
                  <c:v>43846</c:v>
                </c:pt>
                <c:pt idx="258">
                  <c:v>43847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43864</c:v>
                </c:pt>
                <c:pt idx="269">
                  <c:v>43865</c:v>
                </c:pt>
                <c:pt idx="270">
                  <c:v>43866</c:v>
                </c:pt>
                <c:pt idx="271">
                  <c:v>43867</c:v>
                </c:pt>
                <c:pt idx="272">
                  <c:v>43868</c:v>
                </c:pt>
                <c:pt idx="273">
                  <c:v>43871</c:v>
                </c:pt>
                <c:pt idx="274">
                  <c:v>43872</c:v>
                </c:pt>
                <c:pt idx="275">
                  <c:v>43873</c:v>
                </c:pt>
                <c:pt idx="276">
                  <c:v>43874</c:v>
                </c:pt>
                <c:pt idx="277">
                  <c:v>43875</c:v>
                </c:pt>
                <c:pt idx="278">
                  <c:v>43879</c:v>
                </c:pt>
                <c:pt idx="279">
                  <c:v>43880</c:v>
                </c:pt>
                <c:pt idx="280">
                  <c:v>43881</c:v>
                </c:pt>
                <c:pt idx="281">
                  <c:v>43882</c:v>
                </c:pt>
                <c:pt idx="282">
                  <c:v>43885</c:v>
                </c:pt>
                <c:pt idx="283">
                  <c:v>43886</c:v>
                </c:pt>
                <c:pt idx="284">
                  <c:v>43887</c:v>
                </c:pt>
                <c:pt idx="285">
                  <c:v>43888</c:v>
                </c:pt>
                <c:pt idx="286">
                  <c:v>43889</c:v>
                </c:pt>
                <c:pt idx="287">
                  <c:v>43892</c:v>
                </c:pt>
                <c:pt idx="288">
                  <c:v>43893</c:v>
                </c:pt>
                <c:pt idx="289">
                  <c:v>43894</c:v>
                </c:pt>
                <c:pt idx="290">
                  <c:v>43895</c:v>
                </c:pt>
                <c:pt idx="291">
                  <c:v>43896</c:v>
                </c:pt>
                <c:pt idx="292">
                  <c:v>43899</c:v>
                </c:pt>
                <c:pt idx="293">
                  <c:v>43900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43923</c:v>
                </c:pt>
                <c:pt idx="311">
                  <c:v>43924</c:v>
                </c:pt>
                <c:pt idx="312">
                  <c:v>43927</c:v>
                </c:pt>
                <c:pt idx="313">
                  <c:v>43928</c:v>
                </c:pt>
                <c:pt idx="314">
                  <c:v>43929</c:v>
                </c:pt>
                <c:pt idx="315">
                  <c:v>43930</c:v>
                </c:pt>
                <c:pt idx="316">
                  <c:v>43934</c:v>
                </c:pt>
                <c:pt idx="317">
                  <c:v>43935</c:v>
                </c:pt>
                <c:pt idx="318">
                  <c:v>43936</c:v>
                </c:pt>
                <c:pt idx="319">
                  <c:v>43937</c:v>
                </c:pt>
                <c:pt idx="320">
                  <c:v>43938</c:v>
                </c:pt>
                <c:pt idx="321">
                  <c:v>43941</c:v>
                </c:pt>
                <c:pt idx="322">
                  <c:v>43942</c:v>
                </c:pt>
                <c:pt idx="323">
                  <c:v>43943</c:v>
                </c:pt>
                <c:pt idx="324">
                  <c:v>43944</c:v>
                </c:pt>
                <c:pt idx="325">
                  <c:v>43945</c:v>
                </c:pt>
                <c:pt idx="326">
                  <c:v>43948</c:v>
                </c:pt>
                <c:pt idx="327">
                  <c:v>43949</c:v>
                </c:pt>
                <c:pt idx="328">
                  <c:v>43950</c:v>
                </c:pt>
                <c:pt idx="329">
                  <c:v>43951</c:v>
                </c:pt>
                <c:pt idx="330">
                  <c:v>43952</c:v>
                </c:pt>
                <c:pt idx="331">
                  <c:v>43955</c:v>
                </c:pt>
                <c:pt idx="332">
                  <c:v>43956</c:v>
                </c:pt>
                <c:pt idx="333">
                  <c:v>43957</c:v>
                </c:pt>
                <c:pt idx="334">
                  <c:v>43958</c:v>
                </c:pt>
                <c:pt idx="335">
                  <c:v>43959</c:v>
                </c:pt>
                <c:pt idx="336">
                  <c:v>43962</c:v>
                </c:pt>
                <c:pt idx="337">
                  <c:v>43963</c:v>
                </c:pt>
                <c:pt idx="338">
                  <c:v>43964</c:v>
                </c:pt>
                <c:pt idx="339">
                  <c:v>43965</c:v>
                </c:pt>
                <c:pt idx="340">
                  <c:v>43966</c:v>
                </c:pt>
                <c:pt idx="341">
                  <c:v>43969</c:v>
                </c:pt>
                <c:pt idx="342">
                  <c:v>43970</c:v>
                </c:pt>
                <c:pt idx="343">
                  <c:v>43971</c:v>
                </c:pt>
                <c:pt idx="344">
                  <c:v>43972</c:v>
                </c:pt>
                <c:pt idx="345">
                  <c:v>43973</c:v>
                </c:pt>
                <c:pt idx="346">
                  <c:v>43977</c:v>
                </c:pt>
                <c:pt idx="347">
                  <c:v>43978</c:v>
                </c:pt>
                <c:pt idx="348">
                  <c:v>43979</c:v>
                </c:pt>
                <c:pt idx="349">
                  <c:v>43980</c:v>
                </c:pt>
                <c:pt idx="350">
                  <c:v>43983</c:v>
                </c:pt>
                <c:pt idx="351">
                  <c:v>43984</c:v>
                </c:pt>
                <c:pt idx="352">
                  <c:v>43985</c:v>
                </c:pt>
                <c:pt idx="353">
                  <c:v>43986</c:v>
                </c:pt>
                <c:pt idx="354">
                  <c:v>43987</c:v>
                </c:pt>
                <c:pt idx="355">
                  <c:v>43990</c:v>
                </c:pt>
                <c:pt idx="356">
                  <c:v>43991</c:v>
                </c:pt>
                <c:pt idx="357">
                  <c:v>43992</c:v>
                </c:pt>
                <c:pt idx="358">
                  <c:v>43993</c:v>
                </c:pt>
                <c:pt idx="359">
                  <c:v>43994</c:v>
                </c:pt>
                <c:pt idx="360">
                  <c:v>43997</c:v>
                </c:pt>
                <c:pt idx="361">
                  <c:v>43998</c:v>
                </c:pt>
                <c:pt idx="362">
                  <c:v>43999</c:v>
                </c:pt>
                <c:pt idx="363">
                  <c:v>44000</c:v>
                </c:pt>
                <c:pt idx="364">
                  <c:v>44001</c:v>
                </c:pt>
                <c:pt idx="365">
                  <c:v>44004</c:v>
                </c:pt>
                <c:pt idx="366">
                  <c:v>44005</c:v>
                </c:pt>
                <c:pt idx="367">
                  <c:v>44006</c:v>
                </c:pt>
                <c:pt idx="368">
                  <c:v>44007</c:v>
                </c:pt>
                <c:pt idx="369">
                  <c:v>44008</c:v>
                </c:pt>
                <c:pt idx="370">
                  <c:v>44011</c:v>
                </c:pt>
                <c:pt idx="371">
                  <c:v>44012</c:v>
                </c:pt>
                <c:pt idx="372">
                  <c:v>44013</c:v>
                </c:pt>
                <c:pt idx="373">
                  <c:v>44014</c:v>
                </c:pt>
                <c:pt idx="374">
                  <c:v>44018</c:v>
                </c:pt>
                <c:pt idx="375">
                  <c:v>44019</c:v>
                </c:pt>
                <c:pt idx="376">
                  <c:v>44020</c:v>
                </c:pt>
                <c:pt idx="377">
                  <c:v>44021</c:v>
                </c:pt>
                <c:pt idx="378">
                  <c:v>44022</c:v>
                </c:pt>
                <c:pt idx="379">
                  <c:v>44025</c:v>
                </c:pt>
                <c:pt idx="380">
                  <c:v>44026</c:v>
                </c:pt>
                <c:pt idx="381">
                  <c:v>44027</c:v>
                </c:pt>
                <c:pt idx="382">
                  <c:v>44028</c:v>
                </c:pt>
                <c:pt idx="383">
                  <c:v>44029</c:v>
                </c:pt>
                <c:pt idx="384">
                  <c:v>44032</c:v>
                </c:pt>
                <c:pt idx="385">
                  <c:v>44033</c:v>
                </c:pt>
                <c:pt idx="386">
                  <c:v>44034</c:v>
                </c:pt>
                <c:pt idx="387">
                  <c:v>44035</c:v>
                </c:pt>
                <c:pt idx="388">
                  <c:v>44036</c:v>
                </c:pt>
                <c:pt idx="389">
                  <c:v>44039</c:v>
                </c:pt>
                <c:pt idx="390">
                  <c:v>44040</c:v>
                </c:pt>
                <c:pt idx="391">
                  <c:v>44041</c:v>
                </c:pt>
                <c:pt idx="392">
                  <c:v>44042</c:v>
                </c:pt>
                <c:pt idx="393">
                  <c:v>44043</c:v>
                </c:pt>
                <c:pt idx="394">
                  <c:v>44046</c:v>
                </c:pt>
                <c:pt idx="395">
                  <c:v>44047</c:v>
                </c:pt>
                <c:pt idx="396">
                  <c:v>44048</c:v>
                </c:pt>
                <c:pt idx="397">
                  <c:v>44049</c:v>
                </c:pt>
                <c:pt idx="398">
                  <c:v>44050</c:v>
                </c:pt>
                <c:pt idx="399">
                  <c:v>44053</c:v>
                </c:pt>
                <c:pt idx="400">
                  <c:v>44054</c:v>
                </c:pt>
                <c:pt idx="401">
                  <c:v>44055</c:v>
                </c:pt>
                <c:pt idx="402">
                  <c:v>44056</c:v>
                </c:pt>
                <c:pt idx="403">
                  <c:v>44057</c:v>
                </c:pt>
                <c:pt idx="404">
                  <c:v>44060</c:v>
                </c:pt>
                <c:pt idx="405">
                  <c:v>44061</c:v>
                </c:pt>
                <c:pt idx="406">
                  <c:v>44062</c:v>
                </c:pt>
                <c:pt idx="407">
                  <c:v>44063</c:v>
                </c:pt>
                <c:pt idx="408">
                  <c:v>44064</c:v>
                </c:pt>
                <c:pt idx="409">
                  <c:v>44067</c:v>
                </c:pt>
                <c:pt idx="410">
                  <c:v>44068</c:v>
                </c:pt>
                <c:pt idx="411">
                  <c:v>44069</c:v>
                </c:pt>
                <c:pt idx="412">
                  <c:v>44070</c:v>
                </c:pt>
                <c:pt idx="413">
                  <c:v>44071</c:v>
                </c:pt>
                <c:pt idx="414">
                  <c:v>44074</c:v>
                </c:pt>
                <c:pt idx="415">
                  <c:v>44075</c:v>
                </c:pt>
                <c:pt idx="416">
                  <c:v>44076</c:v>
                </c:pt>
                <c:pt idx="417">
                  <c:v>44077</c:v>
                </c:pt>
                <c:pt idx="418">
                  <c:v>44078</c:v>
                </c:pt>
                <c:pt idx="419">
                  <c:v>44082</c:v>
                </c:pt>
                <c:pt idx="420">
                  <c:v>44083</c:v>
                </c:pt>
                <c:pt idx="421">
                  <c:v>44084</c:v>
                </c:pt>
                <c:pt idx="422">
                  <c:v>44085</c:v>
                </c:pt>
                <c:pt idx="423">
                  <c:v>44088</c:v>
                </c:pt>
                <c:pt idx="424">
                  <c:v>44089</c:v>
                </c:pt>
                <c:pt idx="425">
                  <c:v>44090</c:v>
                </c:pt>
                <c:pt idx="426">
                  <c:v>44091</c:v>
                </c:pt>
                <c:pt idx="427">
                  <c:v>44092</c:v>
                </c:pt>
                <c:pt idx="428">
                  <c:v>44095</c:v>
                </c:pt>
                <c:pt idx="429">
                  <c:v>44096</c:v>
                </c:pt>
                <c:pt idx="430">
                  <c:v>44097</c:v>
                </c:pt>
                <c:pt idx="431">
                  <c:v>44098</c:v>
                </c:pt>
                <c:pt idx="432">
                  <c:v>44099</c:v>
                </c:pt>
                <c:pt idx="433">
                  <c:v>44102</c:v>
                </c:pt>
                <c:pt idx="434">
                  <c:v>44103</c:v>
                </c:pt>
                <c:pt idx="435">
                  <c:v>44104</c:v>
                </c:pt>
                <c:pt idx="436">
                  <c:v>44105</c:v>
                </c:pt>
                <c:pt idx="437">
                  <c:v>44106</c:v>
                </c:pt>
                <c:pt idx="438">
                  <c:v>44109</c:v>
                </c:pt>
                <c:pt idx="439">
                  <c:v>44110</c:v>
                </c:pt>
                <c:pt idx="440">
                  <c:v>44111</c:v>
                </c:pt>
                <c:pt idx="441">
                  <c:v>44112</c:v>
                </c:pt>
                <c:pt idx="442">
                  <c:v>44113</c:v>
                </c:pt>
                <c:pt idx="443">
                  <c:v>44116</c:v>
                </c:pt>
                <c:pt idx="444">
                  <c:v>44117</c:v>
                </c:pt>
                <c:pt idx="445">
                  <c:v>44118</c:v>
                </c:pt>
                <c:pt idx="446">
                  <c:v>44119</c:v>
                </c:pt>
                <c:pt idx="447">
                  <c:v>44120</c:v>
                </c:pt>
                <c:pt idx="448">
                  <c:v>44123</c:v>
                </c:pt>
                <c:pt idx="449">
                  <c:v>44124</c:v>
                </c:pt>
                <c:pt idx="450">
                  <c:v>44125</c:v>
                </c:pt>
                <c:pt idx="451">
                  <c:v>44126</c:v>
                </c:pt>
                <c:pt idx="452">
                  <c:v>44127</c:v>
                </c:pt>
                <c:pt idx="453">
                  <c:v>44130</c:v>
                </c:pt>
                <c:pt idx="454">
                  <c:v>44131</c:v>
                </c:pt>
                <c:pt idx="455">
                  <c:v>44132</c:v>
                </c:pt>
                <c:pt idx="456">
                  <c:v>44133</c:v>
                </c:pt>
                <c:pt idx="457">
                  <c:v>44134</c:v>
                </c:pt>
              </c:numCache>
            </c:numRef>
          </c:cat>
          <c:val>
            <c:numRef>
              <c:f>'Stock Price'!$C$3:$C$460</c:f>
              <c:numCache>
                <c:formatCode>General</c:formatCode>
                <c:ptCount val="458"/>
                <c:pt idx="0">
                  <c:v>67.029999000000004</c:v>
                </c:pt>
                <c:pt idx="1">
                  <c:v>68.204002000000003</c:v>
                </c:pt>
                <c:pt idx="2">
                  <c:v>67.25</c:v>
                </c:pt>
                <c:pt idx="3">
                  <c:v>70.550003000000004</c:v>
                </c:pt>
                <c:pt idx="4">
                  <c:v>69.339995999999999</c:v>
                </c:pt>
                <c:pt idx="5">
                  <c:v>69.900002000000001</c:v>
                </c:pt>
                <c:pt idx="6">
                  <c:v>68.349997999999999</c:v>
                </c:pt>
                <c:pt idx="7">
                  <c:v>69.239998</c:v>
                </c:pt>
                <c:pt idx="8">
                  <c:v>68.949996999999996</c:v>
                </c:pt>
                <c:pt idx="9">
                  <c:v>64.489998</c:v>
                </c:pt>
                <c:pt idx="10">
                  <c:v>64.550003000000004</c:v>
                </c:pt>
                <c:pt idx="11">
                  <c:v>63.700001</c:v>
                </c:pt>
                <c:pt idx="12">
                  <c:v>62.990001999999997</c:v>
                </c:pt>
                <c:pt idx="13">
                  <c:v>62.98</c:v>
                </c:pt>
                <c:pt idx="14">
                  <c:v>64.319999999999993</c:v>
                </c:pt>
                <c:pt idx="15">
                  <c:v>63.060001</c:v>
                </c:pt>
                <c:pt idx="16">
                  <c:v>63.57</c:v>
                </c:pt>
                <c:pt idx="17">
                  <c:v>62.900002000000001</c:v>
                </c:pt>
                <c:pt idx="18">
                  <c:v>62.459999000000003</c:v>
                </c:pt>
                <c:pt idx="19">
                  <c:v>61.700001</c:v>
                </c:pt>
                <c:pt idx="20">
                  <c:v>60.07</c:v>
                </c:pt>
                <c:pt idx="21">
                  <c:v>60.869999</c:v>
                </c:pt>
                <c:pt idx="22">
                  <c:v>60.75</c:v>
                </c:pt>
                <c:pt idx="23">
                  <c:v>60.669998</c:v>
                </c:pt>
                <c:pt idx="24">
                  <c:v>61.674999</c:v>
                </c:pt>
                <c:pt idx="25">
                  <c:v>60.380001</c:v>
                </c:pt>
                <c:pt idx="26">
                  <c:v>61.061999999999998</c:v>
                </c:pt>
                <c:pt idx="27">
                  <c:v>60.73</c:v>
                </c:pt>
                <c:pt idx="28">
                  <c:v>59.900002000000001</c:v>
                </c:pt>
                <c:pt idx="29">
                  <c:v>63.439999</c:v>
                </c:pt>
                <c:pt idx="30">
                  <c:v>62.130001</c:v>
                </c:pt>
                <c:pt idx="31">
                  <c:v>60.209999000000003</c:v>
                </c:pt>
                <c:pt idx="32">
                  <c:v>61.514999000000003</c:v>
                </c:pt>
                <c:pt idx="33">
                  <c:v>60.959999000000003</c:v>
                </c:pt>
                <c:pt idx="34">
                  <c:v>60.5</c:v>
                </c:pt>
                <c:pt idx="35">
                  <c:v>59.025002000000001</c:v>
                </c:pt>
                <c:pt idx="36">
                  <c:v>59</c:v>
                </c:pt>
                <c:pt idx="37">
                  <c:v>59.790000999999997</c:v>
                </c:pt>
                <c:pt idx="38">
                  <c:v>60.549999</c:v>
                </c:pt>
                <c:pt idx="39">
                  <c:v>60.799999</c:v>
                </c:pt>
                <c:pt idx="40">
                  <c:v>59.549999</c:v>
                </c:pt>
                <c:pt idx="41">
                  <c:v>59.720001000000003</c:v>
                </c:pt>
                <c:pt idx="42">
                  <c:v>60.290000999999997</c:v>
                </c:pt>
                <c:pt idx="43">
                  <c:v>60.32</c:v>
                </c:pt>
                <c:pt idx="44">
                  <c:v>61.189999</c:v>
                </c:pt>
                <c:pt idx="45">
                  <c:v>62.759998000000003</c:v>
                </c:pt>
                <c:pt idx="46">
                  <c:v>63.150002000000001</c:v>
                </c:pt>
                <c:pt idx="47">
                  <c:v>61.549999</c:v>
                </c:pt>
                <c:pt idx="48">
                  <c:v>62.154998999999997</c:v>
                </c:pt>
                <c:pt idx="49">
                  <c:v>61.07</c:v>
                </c:pt>
                <c:pt idx="50">
                  <c:v>60.73</c:v>
                </c:pt>
                <c:pt idx="51">
                  <c:v>60.259998000000003</c:v>
                </c:pt>
                <c:pt idx="52">
                  <c:v>61.095001000000003</c:v>
                </c:pt>
                <c:pt idx="53">
                  <c:v>59.75</c:v>
                </c:pt>
                <c:pt idx="54">
                  <c:v>59.900002000000001</c:v>
                </c:pt>
                <c:pt idx="55">
                  <c:v>60.830002</c:v>
                </c:pt>
                <c:pt idx="56">
                  <c:v>61.709999000000003</c:v>
                </c:pt>
                <c:pt idx="57">
                  <c:v>61.860000999999997</c:v>
                </c:pt>
                <c:pt idx="58">
                  <c:v>61.68</c:v>
                </c:pt>
                <c:pt idx="59">
                  <c:v>61.748001000000002</c:v>
                </c:pt>
                <c:pt idx="60">
                  <c:v>60.564999</c:v>
                </c:pt>
                <c:pt idx="61">
                  <c:v>60.790000999999997</c:v>
                </c:pt>
                <c:pt idx="62">
                  <c:v>60.049999</c:v>
                </c:pt>
                <c:pt idx="63">
                  <c:v>60.332999999999998</c:v>
                </c:pt>
                <c:pt idx="64">
                  <c:v>61.060001</c:v>
                </c:pt>
                <c:pt idx="65">
                  <c:v>60.719002000000003</c:v>
                </c:pt>
                <c:pt idx="66">
                  <c:v>62</c:v>
                </c:pt>
                <c:pt idx="67">
                  <c:v>61.598998999999999</c:v>
                </c:pt>
                <c:pt idx="68">
                  <c:v>62.459999000000003</c:v>
                </c:pt>
                <c:pt idx="69">
                  <c:v>61.02</c:v>
                </c:pt>
                <c:pt idx="70">
                  <c:v>61.82</c:v>
                </c:pt>
                <c:pt idx="71">
                  <c:v>59.5</c:v>
                </c:pt>
                <c:pt idx="72">
                  <c:v>58.650002000000001</c:v>
                </c:pt>
                <c:pt idx="73">
                  <c:v>58</c:v>
                </c:pt>
                <c:pt idx="74">
                  <c:v>58.169998</c:v>
                </c:pt>
                <c:pt idx="75">
                  <c:v>59</c:v>
                </c:pt>
                <c:pt idx="76">
                  <c:v>59.119999</c:v>
                </c:pt>
                <c:pt idx="77">
                  <c:v>58.869999</c:v>
                </c:pt>
                <c:pt idx="78">
                  <c:v>59.009998000000003</c:v>
                </c:pt>
                <c:pt idx="79">
                  <c:v>57.75</c:v>
                </c:pt>
                <c:pt idx="80">
                  <c:v>57.200001</c:v>
                </c:pt>
                <c:pt idx="81">
                  <c:v>56.98</c:v>
                </c:pt>
                <c:pt idx="82">
                  <c:v>56.880001</c:v>
                </c:pt>
                <c:pt idx="83">
                  <c:v>56</c:v>
                </c:pt>
                <c:pt idx="84">
                  <c:v>57.619999</c:v>
                </c:pt>
                <c:pt idx="85">
                  <c:v>56.25</c:v>
                </c:pt>
                <c:pt idx="86">
                  <c:v>57.759998000000003</c:v>
                </c:pt>
                <c:pt idx="87">
                  <c:v>58.07</c:v>
                </c:pt>
                <c:pt idx="88">
                  <c:v>58.380001</c:v>
                </c:pt>
                <c:pt idx="89">
                  <c:v>58.119999</c:v>
                </c:pt>
                <c:pt idx="90">
                  <c:v>57.77</c:v>
                </c:pt>
                <c:pt idx="91">
                  <c:v>56.810001</c:v>
                </c:pt>
                <c:pt idx="92">
                  <c:v>57.84</c:v>
                </c:pt>
                <c:pt idx="93">
                  <c:v>56.009998000000003</c:v>
                </c:pt>
                <c:pt idx="94">
                  <c:v>56.099997999999999</c:v>
                </c:pt>
                <c:pt idx="95">
                  <c:v>55</c:v>
                </c:pt>
                <c:pt idx="96">
                  <c:v>54.509998000000003</c:v>
                </c:pt>
                <c:pt idx="97">
                  <c:v>54.400002000000001</c:v>
                </c:pt>
                <c:pt idx="98">
                  <c:v>56.200001</c:v>
                </c:pt>
                <c:pt idx="99">
                  <c:v>56.5</c:v>
                </c:pt>
                <c:pt idx="100">
                  <c:v>52</c:v>
                </c:pt>
                <c:pt idx="101">
                  <c:v>53.119999</c:v>
                </c:pt>
                <c:pt idx="102">
                  <c:v>52.849997999999999</c:v>
                </c:pt>
                <c:pt idx="103">
                  <c:v>54.805</c:v>
                </c:pt>
                <c:pt idx="104">
                  <c:v>54</c:v>
                </c:pt>
                <c:pt idx="105">
                  <c:v>50.950001</c:v>
                </c:pt>
                <c:pt idx="106">
                  <c:v>49.84</c:v>
                </c:pt>
                <c:pt idx="107">
                  <c:v>55</c:v>
                </c:pt>
                <c:pt idx="108">
                  <c:v>53.610000999999997</c:v>
                </c:pt>
                <c:pt idx="109">
                  <c:v>52.740001999999997</c:v>
                </c:pt>
                <c:pt idx="110">
                  <c:v>53.459999000000003</c:v>
                </c:pt>
                <c:pt idx="111">
                  <c:v>53.720001000000003</c:v>
                </c:pt>
                <c:pt idx="112">
                  <c:v>54.540000999999997</c:v>
                </c:pt>
                <c:pt idx="113">
                  <c:v>54.450001</c:v>
                </c:pt>
                <c:pt idx="114">
                  <c:v>55.450001</c:v>
                </c:pt>
                <c:pt idx="115">
                  <c:v>55.560001</c:v>
                </c:pt>
                <c:pt idx="116">
                  <c:v>55.860000999999997</c:v>
                </c:pt>
                <c:pt idx="117">
                  <c:v>55.549999</c:v>
                </c:pt>
                <c:pt idx="118">
                  <c:v>55.700001</c:v>
                </c:pt>
                <c:pt idx="119">
                  <c:v>55.869999</c:v>
                </c:pt>
                <c:pt idx="120">
                  <c:v>56.060001</c:v>
                </c:pt>
                <c:pt idx="121">
                  <c:v>56.970001000000003</c:v>
                </c:pt>
                <c:pt idx="122">
                  <c:v>57.349997999999999</c:v>
                </c:pt>
                <c:pt idx="123">
                  <c:v>57.709999000000003</c:v>
                </c:pt>
                <c:pt idx="124">
                  <c:v>57.52</c:v>
                </c:pt>
                <c:pt idx="125">
                  <c:v>58.029998999999997</c:v>
                </c:pt>
                <c:pt idx="126">
                  <c:v>58.73</c:v>
                </c:pt>
                <c:pt idx="127">
                  <c:v>57.889999000000003</c:v>
                </c:pt>
                <c:pt idx="128">
                  <c:v>57.52</c:v>
                </c:pt>
                <c:pt idx="129">
                  <c:v>57.709999000000003</c:v>
                </c:pt>
                <c:pt idx="130">
                  <c:v>57.360000999999997</c:v>
                </c:pt>
                <c:pt idx="131">
                  <c:v>57.52</c:v>
                </c:pt>
                <c:pt idx="132">
                  <c:v>55.799999</c:v>
                </c:pt>
                <c:pt idx="133">
                  <c:v>53.810001</c:v>
                </c:pt>
                <c:pt idx="134">
                  <c:v>52.849997999999999</c:v>
                </c:pt>
                <c:pt idx="135">
                  <c:v>53</c:v>
                </c:pt>
                <c:pt idx="136">
                  <c:v>53.060001</c:v>
                </c:pt>
                <c:pt idx="137">
                  <c:v>53.259998000000003</c:v>
                </c:pt>
                <c:pt idx="138">
                  <c:v>52.889999000000003</c:v>
                </c:pt>
                <c:pt idx="139">
                  <c:v>52.349997999999999</c:v>
                </c:pt>
                <c:pt idx="140">
                  <c:v>51.259998000000003</c:v>
                </c:pt>
                <c:pt idx="141">
                  <c:v>50.5</c:v>
                </c:pt>
                <c:pt idx="142">
                  <c:v>50.27</c:v>
                </c:pt>
                <c:pt idx="143">
                  <c:v>49.52</c:v>
                </c:pt>
                <c:pt idx="144">
                  <c:v>50.540000999999997</c:v>
                </c:pt>
                <c:pt idx="145">
                  <c:v>50.360000999999997</c:v>
                </c:pt>
                <c:pt idx="146">
                  <c:v>52.450001</c:v>
                </c:pt>
                <c:pt idx="147">
                  <c:v>51.029998999999997</c:v>
                </c:pt>
                <c:pt idx="148">
                  <c:v>50.599997999999999</c:v>
                </c:pt>
                <c:pt idx="149">
                  <c:v>50.009998000000003</c:v>
                </c:pt>
                <c:pt idx="150">
                  <c:v>49.5</c:v>
                </c:pt>
                <c:pt idx="151">
                  <c:v>49.619999</c:v>
                </c:pt>
                <c:pt idx="152">
                  <c:v>49.060001</c:v>
                </c:pt>
                <c:pt idx="153">
                  <c:v>49.84</c:v>
                </c:pt>
                <c:pt idx="154">
                  <c:v>49.599997999999999</c:v>
                </c:pt>
                <c:pt idx="155">
                  <c:v>50.07</c:v>
                </c:pt>
                <c:pt idx="156">
                  <c:v>49.869999</c:v>
                </c:pt>
                <c:pt idx="157">
                  <c:v>49.060001</c:v>
                </c:pt>
                <c:pt idx="158">
                  <c:v>49.490001999999997</c:v>
                </c:pt>
                <c:pt idx="159">
                  <c:v>50.150002000000001</c:v>
                </c:pt>
                <c:pt idx="160">
                  <c:v>50.240001999999997</c:v>
                </c:pt>
                <c:pt idx="161">
                  <c:v>50.16</c:v>
                </c:pt>
                <c:pt idx="162">
                  <c:v>51.119999</c:v>
                </c:pt>
                <c:pt idx="163">
                  <c:v>50.540000999999997</c:v>
                </c:pt>
                <c:pt idx="164">
                  <c:v>51.009998000000003</c:v>
                </c:pt>
                <c:pt idx="165">
                  <c:v>51.759998000000003</c:v>
                </c:pt>
                <c:pt idx="166">
                  <c:v>51.400002000000001</c:v>
                </c:pt>
                <c:pt idx="167">
                  <c:v>50.450001</c:v>
                </c:pt>
                <c:pt idx="168">
                  <c:v>50.68</c:v>
                </c:pt>
                <c:pt idx="169">
                  <c:v>51.990001999999997</c:v>
                </c:pt>
                <c:pt idx="170">
                  <c:v>52.380001</c:v>
                </c:pt>
                <c:pt idx="171">
                  <c:v>52.09</c:v>
                </c:pt>
                <c:pt idx="172">
                  <c:v>52.990001999999997</c:v>
                </c:pt>
                <c:pt idx="173">
                  <c:v>50.25</c:v>
                </c:pt>
                <c:pt idx="174">
                  <c:v>49.459999000000003</c:v>
                </c:pt>
                <c:pt idx="175">
                  <c:v>50.830002</c:v>
                </c:pt>
                <c:pt idx="176">
                  <c:v>51.389999000000003</c:v>
                </c:pt>
                <c:pt idx="177">
                  <c:v>50</c:v>
                </c:pt>
                <c:pt idx="178">
                  <c:v>49.900002000000001</c:v>
                </c:pt>
                <c:pt idx="179">
                  <c:v>49.669998</c:v>
                </c:pt>
                <c:pt idx="180">
                  <c:v>49.82</c:v>
                </c:pt>
                <c:pt idx="181">
                  <c:v>49.060001</c:v>
                </c:pt>
                <c:pt idx="182">
                  <c:v>48.669998</c:v>
                </c:pt>
                <c:pt idx="183">
                  <c:v>47.220001000000003</c:v>
                </c:pt>
                <c:pt idx="184">
                  <c:v>46.029998999999997</c:v>
                </c:pt>
                <c:pt idx="185">
                  <c:v>45.66</c:v>
                </c:pt>
                <c:pt idx="186">
                  <c:v>45.27</c:v>
                </c:pt>
                <c:pt idx="187">
                  <c:v>45.439999</c:v>
                </c:pt>
                <c:pt idx="188">
                  <c:v>44.18</c:v>
                </c:pt>
                <c:pt idx="189">
                  <c:v>45.040000999999997</c:v>
                </c:pt>
                <c:pt idx="190">
                  <c:v>46</c:v>
                </c:pt>
                <c:pt idx="191">
                  <c:v>46.93</c:v>
                </c:pt>
                <c:pt idx="192">
                  <c:v>46.740001999999997</c:v>
                </c:pt>
                <c:pt idx="193">
                  <c:v>47.990001999999997</c:v>
                </c:pt>
                <c:pt idx="194">
                  <c:v>47.990001999999997</c:v>
                </c:pt>
                <c:pt idx="195">
                  <c:v>48.450001</c:v>
                </c:pt>
                <c:pt idx="196">
                  <c:v>48.57</c:v>
                </c:pt>
                <c:pt idx="197">
                  <c:v>48.790000999999997</c:v>
                </c:pt>
                <c:pt idx="198">
                  <c:v>48.959999000000003</c:v>
                </c:pt>
                <c:pt idx="199">
                  <c:v>49.599997999999999</c:v>
                </c:pt>
                <c:pt idx="200">
                  <c:v>44.599997999999999</c:v>
                </c:pt>
                <c:pt idx="201">
                  <c:v>43.529998999999997</c:v>
                </c:pt>
                <c:pt idx="202">
                  <c:v>44.299999</c:v>
                </c:pt>
                <c:pt idx="203">
                  <c:v>44.110000999999997</c:v>
                </c:pt>
                <c:pt idx="204">
                  <c:v>44.419998</c:v>
                </c:pt>
                <c:pt idx="205">
                  <c:v>45.169998</c:v>
                </c:pt>
                <c:pt idx="206">
                  <c:v>45.720001000000003</c:v>
                </c:pt>
                <c:pt idx="207">
                  <c:v>47.200001</c:v>
                </c:pt>
                <c:pt idx="208">
                  <c:v>44.599997999999999</c:v>
                </c:pt>
                <c:pt idx="209">
                  <c:v>44.560001</c:v>
                </c:pt>
                <c:pt idx="210">
                  <c:v>44.330002</c:v>
                </c:pt>
                <c:pt idx="211">
                  <c:v>44.27</c:v>
                </c:pt>
                <c:pt idx="212">
                  <c:v>43.169998</c:v>
                </c:pt>
                <c:pt idx="213">
                  <c:v>42.009998000000003</c:v>
                </c:pt>
                <c:pt idx="214">
                  <c:v>42.59</c:v>
                </c:pt>
                <c:pt idx="215">
                  <c:v>42</c:v>
                </c:pt>
                <c:pt idx="216">
                  <c:v>41.07</c:v>
                </c:pt>
                <c:pt idx="217">
                  <c:v>41.700001</c:v>
                </c:pt>
                <c:pt idx="218">
                  <c:v>43.040000999999997</c:v>
                </c:pt>
                <c:pt idx="219">
                  <c:v>44.02</c:v>
                </c:pt>
                <c:pt idx="220">
                  <c:v>44.669998</c:v>
                </c:pt>
                <c:pt idx="221">
                  <c:v>44.57</c:v>
                </c:pt>
                <c:pt idx="222">
                  <c:v>45.040000999999997</c:v>
                </c:pt>
                <c:pt idx="223">
                  <c:v>43.970001000000003</c:v>
                </c:pt>
                <c:pt idx="224">
                  <c:v>43.080002</c:v>
                </c:pt>
                <c:pt idx="225">
                  <c:v>44.810001</c:v>
                </c:pt>
                <c:pt idx="226">
                  <c:v>45.91</c:v>
                </c:pt>
                <c:pt idx="227">
                  <c:v>44.549999</c:v>
                </c:pt>
                <c:pt idx="228">
                  <c:v>46.060001</c:v>
                </c:pt>
                <c:pt idx="229">
                  <c:v>46.950001</c:v>
                </c:pt>
                <c:pt idx="230">
                  <c:v>47.25</c:v>
                </c:pt>
                <c:pt idx="231">
                  <c:v>45.77</c:v>
                </c:pt>
                <c:pt idx="232">
                  <c:v>45.82</c:v>
                </c:pt>
                <c:pt idx="233">
                  <c:v>46.43</c:v>
                </c:pt>
                <c:pt idx="234">
                  <c:v>46.25</c:v>
                </c:pt>
                <c:pt idx="235">
                  <c:v>45.990001999999997</c:v>
                </c:pt>
                <c:pt idx="236">
                  <c:v>47.220001000000003</c:v>
                </c:pt>
                <c:pt idx="237">
                  <c:v>47.919998</c:v>
                </c:pt>
                <c:pt idx="238">
                  <c:v>48.139999000000003</c:v>
                </c:pt>
                <c:pt idx="239">
                  <c:v>48.849997999999999</c:v>
                </c:pt>
                <c:pt idx="240">
                  <c:v>49.419998</c:v>
                </c:pt>
                <c:pt idx="241">
                  <c:v>48.400002000000001</c:v>
                </c:pt>
                <c:pt idx="242">
                  <c:v>48.82</c:v>
                </c:pt>
                <c:pt idx="243">
                  <c:v>49</c:v>
                </c:pt>
                <c:pt idx="244">
                  <c:v>48.23</c:v>
                </c:pt>
                <c:pt idx="245">
                  <c:v>48.540000999999997</c:v>
                </c:pt>
                <c:pt idx="246">
                  <c:v>48.23</c:v>
                </c:pt>
                <c:pt idx="247">
                  <c:v>48.630001</c:v>
                </c:pt>
                <c:pt idx="248">
                  <c:v>48</c:v>
                </c:pt>
                <c:pt idx="249">
                  <c:v>47.939999</c:v>
                </c:pt>
                <c:pt idx="250">
                  <c:v>47.279998999999997</c:v>
                </c:pt>
                <c:pt idx="251">
                  <c:v>47.59</c:v>
                </c:pt>
                <c:pt idx="252">
                  <c:v>46.869999</c:v>
                </c:pt>
                <c:pt idx="253">
                  <c:v>49.389999000000003</c:v>
                </c:pt>
                <c:pt idx="254">
                  <c:v>47.310001</c:v>
                </c:pt>
                <c:pt idx="255">
                  <c:v>46.689999</c:v>
                </c:pt>
                <c:pt idx="256">
                  <c:v>46.299999</c:v>
                </c:pt>
                <c:pt idx="257">
                  <c:v>47.68</c:v>
                </c:pt>
                <c:pt idx="258">
                  <c:v>48.389999000000003</c:v>
                </c:pt>
                <c:pt idx="259">
                  <c:v>48.860000999999997</c:v>
                </c:pt>
                <c:pt idx="260">
                  <c:v>48.490001999999997</c:v>
                </c:pt>
                <c:pt idx="261">
                  <c:v>48.279998999999997</c:v>
                </c:pt>
                <c:pt idx="262">
                  <c:v>46.75</c:v>
                </c:pt>
                <c:pt idx="263">
                  <c:v>46.200001</c:v>
                </c:pt>
                <c:pt idx="264">
                  <c:v>46.610000999999997</c:v>
                </c:pt>
                <c:pt idx="265">
                  <c:v>46.68</c:v>
                </c:pt>
                <c:pt idx="266">
                  <c:v>47.139999000000003</c:v>
                </c:pt>
                <c:pt idx="267">
                  <c:v>46.779998999999997</c:v>
                </c:pt>
                <c:pt idx="268">
                  <c:v>46.849997999999999</c:v>
                </c:pt>
                <c:pt idx="269">
                  <c:v>47.32</c:v>
                </c:pt>
                <c:pt idx="270">
                  <c:v>47.990001999999997</c:v>
                </c:pt>
                <c:pt idx="271">
                  <c:v>47.400002000000001</c:v>
                </c:pt>
                <c:pt idx="272">
                  <c:v>46.139999000000003</c:v>
                </c:pt>
                <c:pt idx="273">
                  <c:v>45.759998000000003</c:v>
                </c:pt>
                <c:pt idx="274">
                  <c:v>46.939999</c:v>
                </c:pt>
                <c:pt idx="275">
                  <c:v>47.419998</c:v>
                </c:pt>
                <c:pt idx="276">
                  <c:v>47.139999000000003</c:v>
                </c:pt>
                <c:pt idx="277">
                  <c:v>46.639999000000003</c:v>
                </c:pt>
                <c:pt idx="278">
                  <c:v>46.654998999999997</c:v>
                </c:pt>
                <c:pt idx="279">
                  <c:v>47.380001</c:v>
                </c:pt>
                <c:pt idx="280">
                  <c:v>46.200001</c:v>
                </c:pt>
                <c:pt idx="281">
                  <c:v>46.369999</c:v>
                </c:pt>
                <c:pt idx="282">
                  <c:v>44.259998000000003</c:v>
                </c:pt>
                <c:pt idx="283">
                  <c:v>44.779998999999997</c:v>
                </c:pt>
                <c:pt idx="284">
                  <c:v>47.490001999999997</c:v>
                </c:pt>
                <c:pt idx="285">
                  <c:v>45.470001000000003</c:v>
                </c:pt>
                <c:pt idx="286">
                  <c:v>45.509998000000003</c:v>
                </c:pt>
                <c:pt idx="287">
                  <c:v>45.720001000000003</c:v>
                </c:pt>
                <c:pt idx="288">
                  <c:v>45.09</c:v>
                </c:pt>
                <c:pt idx="289">
                  <c:v>45.490001999999997</c:v>
                </c:pt>
                <c:pt idx="290">
                  <c:v>45.32</c:v>
                </c:pt>
                <c:pt idx="291">
                  <c:v>44.869999</c:v>
                </c:pt>
                <c:pt idx="292">
                  <c:v>42.240001999999997</c:v>
                </c:pt>
                <c:pt idx="293">
                  <c:v>40.32</c:v>
                </c:pt>
                <c:pt idx="294">
                  <c:v>37.200001</c:v>
                </c:pt>
                <c:pt idx="295">
                  <c:v>31.4</c:v>
                </c:pt>
                <c:pt idx="296">
                  <c:v>28.870000999999998</c:v>
                </c:pt>
                <c:pt idx="297">
                  <c:v>24.51</c:v>
                </c:pt>
                <c:pt idx="298">
                  <c:v>24.51</c:v>
                </c:pt>
                <c:pt idx="299">
                  <c:v>22.5</c:v>
                </c:pt>
                <c:pt idx="300">
                  <c:v>24.08</c:v>
                </c:pt>
                <c:pt idx="301">
                  <c:v>22.860001</c:v>
                </c:pt>
                <c:pt idx="302">
                  <c:v>23.610001</c:v>
                </c:pt>
                <c:pt idx="303">
                  <c:v>25.530000999999999</c:v>
                </c:pt>
                <c:pt idx="304">
                  <c:v>27.799999</c:v>
                </c:pt>
                <c:pt idx="305">
                  <c:v>29.700001</c:v>
                </c:pt>
                <c:pt idx="306">
                  <c:v>28.610001</c:v>
                </c:pt>
                <c:pt idx="307">
                  <c:v>27.559999000000001</c:v>
                </c:pt>
                <c:pt idx="308">
                  <c:v>28.4</c:v>
                </c:pt>
                <c:pt idx="309">
                  <c:v>27.440000999999999</c:v>
                </c:pt>
                <c:pt idx="310">
                  <c:v>26.889999</c:v>
                </c:pt>
                <c:pt idx="311">
                  <c:v>27.809999000000001</c:v>
                </c:pt>
                <c:pt idx="312">
                  <c:v>28.299999</c:v>
                </c:pt>
                <c:pt idx="313">
                  <c:v>29.32</c:v>
                </c:pt>
                <c:pt idx="314">
                  <c:v>28.799999</c:v>
                </c:pt>
                <c:pt idx="315">
                  <c:v>30.559999000000001</c:v>
                </c:pt>
                <c:pt idx="316">
                  <c:v>30.219999000000001</c:v>
                </c:pt>
                <c:pt idx="317">
                  <c:v>30.68</c:v>
                </c:pt>
                <c:pt idx="318">
                  <c:v>29.190000999999999</c:v>
                </c:pt>
                <c:pt idx="319">
                  <c:v>29.110001</c:v>
                </c:pt>
                <c:pt idx="320">
                  <c:v>29.02</c:v>
                </c:pt>
                <c:pt idx="321">
                  <c:v>28.16</c:v>
                </c:pt>
                <c:pt idx="322">
                  <c:v>26.15</c:v>
                </c:pt>
                <c:pt idx="323">
                  <c:v>25.91</c:v>
                </c:pt>
                <c:pt idx="324">
                  <c:v>26.49</c:v>
                </c:pt>
                <c:pt idx="325">
                  <c:v>26.120000999999998</c:v>
                </c:pt>
                <c:pt idx="326">
                  <c:v>27.030000999999999</c:v>
                </c:pt>
                <c:pt idx="327">
                  <c:v>27.290001</c:v>
                </c:pt>
                <c:pt idx="328">
                  <c:v>28.42</c:v>
                </c:pt>
                <c:pt idx="329">
                  <c:v>26.51</c:v>
                </c:pt>
                <c:pt idx="330">
                  <c:v>25.139999</c:v>
                </c:pt>
                <c:pt idx="331">
                  <c:v>23.5</c:v>
                </c:pt>
                <c:pt idx="332">
                  <c:v>24.200001</c:v>
                </c:pt>
                <c:pt idx="333">
                  <c:v>23.360001</c:v>
                </c:pt>
                <c:pt idx="334">
                  <c:v>23.700001</c:v>
                </c:pt>
                <c:pt idx="335">
                  <c:v>24.629999000000002</c:v>
                </c:pt>
                <c:pt idx="336">
                  <c:v>23.360001</c:v>
                </c:pt>
                <c:pt idx="337">
                  <c:v>22.26</c:v>
                </c:pt>
                <c:pt idx="338">
                  <c:v>21.49</c:v>
                </c:pt>
                <c:pt idx="339">
                  <c:v>21.190000999999999</c:v>
                </c:pt>
                <c:pt idx="340">
                  <c:v>20.860001</c:v>
                </c:pt>
                <c:pt idx="341">
                  <c:v>21.74</c:v>
                </c:pt>
                <c:pt idx="342">
                  <c:v>20.389999</c:v>
                </c:pt>
                <c:pt idx="343">
                  <c:v>20.959999</c:v>
                </c:pt>
                <c:pt idx="344">
                  <c:v>20.860001</c:v>
                </c:pt>
                <c:pt idx="345">
                  <c:v>21.209999</c:v>
                </c:pt>
                <c:pt idx="346">
                  <c:v>22.190000999999999</c:v>
                </c:pt>
                <c:pt idx="347">
                  <c:v>23.16</c:v>
                </c:pt>
                <c:pt idx="348">
                  <c:v>24.6</c:v>
                </c:pt>
                <c:pt idx="349">
                  <c:v>24.309999000000001</c:v>
                </c:pt>
                <c:pt idx="350">
                  <c:v>25.9</c:v>
                </c:pt>
                <c:pt idx="351">
                  <c:v>25.799999</c:v>
                </c:pt>
                <c:pt idx="352">
                  <c:v>27.790001</c:v>
                </c:pt>
                <c:pt idx="353">
                  <c:v>28.030000999999999</c:v>
                </c:pt>
                <c:pt idx="354">
                  <c:v>28.73</c:v>
                </c:pt>
                <c:pt idx="355">
                  <c:v>30.9</c:v>
                </c:pt>
                <c:pt idx="356">
                  <c:v>29.34</c:v>
                </c:pt>
                <c:pt idx="357">
                  <c:v>28.73</c:v>
                </c:pt>
                <c:pt idx="358">
                  <c:v>24.959999</c:v>
                </c:pt>
                <c:pt idx="359">
                  <c:v>26.49</c:v>
                </c:pt>
                <c:pt idx="360">
                  <c:v>27.709999</c:v>
                </c:pt>
                <c:pt idx="361">
                  <c:v>26.9</c:v>
                </c:pt>
                <c:pt idx="362">
                  <c:v>26.59</c:v>
                </c:pt>
                <c:pt idx="363">
                  <c:v>26.5</c:v>
                </c:pt>
                <c:pt idx="364">
                  <c:v>26.49</c:v>
                </c:pt>
                <c:pt idx="365">
                  <c:v>26.52</c:v>
                </c:pt>
                <c:pt idx="366">
                  <c:v>27.16</c:v>
                </c:pt>
                <c:pt idx="367">
                  <c:v>25.48</c:v>
                </c:pt>
                <c:pt idx="368">
                  <c:v>25.77</c:v>
                </c:pt>
                <c:pt idx="369">
                  <c:v>25.17</c:v>
                </c:pt>
                <c:pt idx="370">
                  <c:v>25.709999</c:v>
                </c:pt>
                <c:pt idx="371">
                  <c:v>26.15</c:v>
                </c:pt>
                <c:pt idx="372">
                  <c:v>26.09</c:v>
                </c:pt>
                <c:pt idx="373">
                  <c:v>26.27</c:v>
                </c:pt>
                <c:pt idx="374">
                  <c:v>26.85</c:v>
                </c:pt>
                <c:pt idx="375">
                  <c:v>25.75</c:v>
                </c:pt>
                <c:pt idx="376">
                  <c:v>26.610001</c:v>
                </c:pt>
                <c:pt idx="377">
                  <c:v>25.5</c:v>
                </c:pt>
                <c:pt idx="378">
                  <c:v>25.799999</c:v>
                </c:pt>
                <c:pt idx="379">
                  <c:v>25.26</c:v>
                </c:pt>
                <c:pt idx="380">
                  <c:v>25.030000999999999</c:v>
                </c:pt>
                <c:pt idx="381">
                  <c:v>26.25</c:v>
                </c:pt>
                <c:pt idx="382">
                  <c:v>27.299999</c:v>
                </c:pt>
                <c:pt idx="383">
                  <c:v>27.469999000000001</c:v>
                </c:pt>
                <c:pt idx="384">
                  <c:v>28.469999000000001</c:v>
                </c:pt>
                <c:pt idx="385">
                  <c:v>29.290001</c:v>
                </c:pt>
                <c:pt idx="386">
                  <c:v>29.059999000000001</c:v>
                </c:pt>
                <c:pt idx="387">
                  <c:v>29.08</c:v>
                </c:pt>
                <c:pt idx="388">
                  <c:v>28.139999</c:v>
                </c:pt>
                <c:pt idx="389">
                  <c:v>28.139999</c:v>
                </c:pt>
                <c:pt idx="390">
                  <c:v>28.700001</c:v>
                </c:pt>
                <c:pt idx="391">
                  <c:v>28.51</c:v>
                </c:pt>
                <c:pt idx="392">
                  <c:v>29.82</c:v>
                </c:pt>
                <c:pt idx="393">
                  <c:v>29.75</c:v>
                </c:pt>
                <c:pt idx="394">
                  <c:v>29.82</c:v>
                </c:pt>
                <c:pt idx="395">
                  <c:v>28.99</c:v>
                </c:pt>
                <c:pt idx="396">
                  <c:v>29.129999000000002</c:v>
                </c:pt>
                <c:pt idx="397">
                  <c:v>28.42</c:v>
                </c:pt>
                <c:pt idx="398">
                  <c:v>28.07</c:v>
                </c:pt>
                <c:pt idx="399">
                  <c:v>28.940000999999999</c:v>
                </c:pt>
                <c:pt idx="400">
                  <c:v>28.85</c:v>
                </c:pt>
                <c:pt idx="401">
                  <c:v>29</c:v>
                </c:pt>
                <c:pt idx="402">
                  <c:v>29.42</c:v>
                </c:pt>
                <c:pt idx="403">
                  <c:v>29.27</c:v>
                </c:pt>
                <c:pt idx="404">
                  <c:v>28.040001</c:v>
                </c:pt>
                <c:pt idx="405">
                  <c:v>27.9</c:v>
                </c:pt>
                <c:pt idx="406">
                  <c:v>28.280000999999999</c:v>
                </c:pt>
                <c:pt idx="407">
                  <c:v>28.01</c:v>
                </c:pt>
                <c:pt idx="408">
                  <c:v>27.26</c:v>
                </c:pt>
                <c:pt idx="409">
                  <c:v>28.27</c:v>
                </c:pt>
                <c:pt idx="410">
                  <c:v>29.51</c:v>
                </c:pt>
                <c:pt idx="411">
                  <c:v>29.91</c:v>
                </c:pt>
                <c:pt idx="412">
                  <c:v>29.9</c:v>
                </c:pt>
                <c:pt idx="413">
                  <c:v>30.139999</c:v>
                </c:pt>
                <c:pt idx="414">
                  <c:v>29.549999</c:v>
                </c:pt>
                <c:pt idx="415">
                  <c:v>29.440000999999999</c:v>
                </c:pt>
                <c:pt idx="416">
                  <c:v>29.1</c:v>
                </c:pt>
                <c:pt idx="417">
                  <c:v>28.809999000000001</c:v>
                </c:pt>
                <c:pt idx="418">
                  <c:v>28.969999000000001</c:v>
                </c:pt>
                <c:pt idx="419">
                  <c:v>29.370000999999998</c:v>
                </c:pt>
                <c:pt idx="420">
                  <c:v>32.659999999999997</c:v>
                </c:pt>
                <c:pt idx="421">
                  <c:v>32.130001</c:v>
                </c:pt>
                <c:pt idx="422">
                  <c:v>32.169998</c:v>
                </c:pt>
                <c:pt idx="423">
                  <c:v>31.92</c:v>
                </c:pt>
                <c:pt idx="424">
                  <c:v>32.020000000000003</c:v>
                </c:pt>
                <c:pt idx="425">
                  <c:v>32.139999000000003</c:v>
                </c:pt>
                <c:pt idx="426">
                  <c:v>32.099997999999999</c:v>
                </c:pt>
                <c:pt idx="427">
                  <c:v>31.879999000000002</c:v>
                </c:pt>
                <c:pt idx="428">
                  <c:v>30.35</c:v>
                </c:pt>
                <c:pt idx="429">
                  <c:v>29.65</c:v>
                </c:pt>
                <c:pt idx="430">
                  <c:v>29.190000999999999</c:v>
                </c:pt>
                <c:pt idx="431">
                  <c:v>28.35</c:v>
                </c:pt>
                <c:pt idx="432">
                  <c:v>28.32</c:v>
                </c:pt>
                <c:pt idx="433">
                  <c:v>29.120000999999998</c:v>
                </c:pt>
                <c:pt idx="434">
                  <c:v>29.620000999999998</c:v>
                </c:pt>
                <c:pt idx="435">
                  <c:v>30.280000999999999</c:v>
                </c:pt>
                <c:pt idx="436">
                  <c:v>29.93</c:v>
                </c:pt>
                <c:pt idx="437">
                  <c:v>29.65</c:v>
                </c:pt>
                <c:pt idx="438">
                  <c:v>30.52</c:v>
                </c:pt>
                <c:pt idx="439">
                  <c:v>30.940000999999999</c:v>
                </c:pt>
                <c:pt idx="440">
                  <c:v>31.200001</c:v>
                </c:pt>
                <c:pt idx="441">
                  <c:v>31.709999</c:v>
                </c:pt>
                <c:pt idx="442">
                  <c:v>31.49</c:v>
                </c:pt>
                <c:pt idx="443">
                  <c:v>31.52</c:v>
                </c:pt>
                <c:pt idx="444">
                  <c:v>30.74</c:v>
                </c:pt>
                <c:pt idx="445">
                  <c:v>30.67</c:v>
                </c:pt>
                <c:pt idx="446">
                  <c:v>30.34</c:v>
                </c:pt>
                <c:pt idx="447">
                  <c:v>30.75</c:v>
                </c:pt>
                <c:pt idx="448">
                  <c:v>32.32</c:v>
                </c:pt>
                <c:pt idx="449">
                  <c:v>32.279998999999997</c:v>
                </c:pt>
                <c:pt idx="450">
                  <c:v>31.809999000000001</c:v>
                </c:pt>
                <c:pt idx="451">
                  <c:v>32.779998999999997</c:v>
                </c:pt>
                <c:pt idx="452">
                  <c:v>32.880001</c:v>
                </c:pt>
                <c:pt idx="453">
                  <c:v>30.6</c:v>
                </c:pt>
                <c:pt idx="454">
                  <c:v>29.450001</c:v>
                </c:pt>
                <c:pt idx="455">
                  <c:v>28.530000999999999</c:v>
                </c:pt>
                <c:pt idx="456">
                  <c:v>28.309999000000001</c:v>
                </c:pt>
                <c:pt idx="457">
                  <c:v>29.84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6-4F57-98FD-ADD974A7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687295"/>
        <c:axId val="1305861647"/>
      </c:lineChart>
      <c:dateAx>
        <c:axId val="1305687295"/>
        <c:scaling>
          <c:orientation val="minMax"/>
          <c:max val="44135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61647"/>
        <c:crosses val="autoZero"/>
        <c:auto val="1"/>
        <c:lblOffset val="100"/>
        <c:baseTimeUnit val="days"/>
        <c:majorUnit val="3"/>
        <c:majorTimeUnit val="months"/>
        <c:minorUnit val="3"/>
        <c:minorTimeUnit val="months"/>
      </c:dateAx>
      <c:valAx>
        <c:axId val="1305861647"/>
        <c:scaling>
          <c:orientation val="minMax"/>
          <c:min val="10"/>
        </c:scaling>
        <c:delete val="0"/>
        <c:axPos val="l"/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87295"/>
        <c:crosses val="autoZero"/>
        <c:crossBetween val="between"/>
      </c:valAx>
      <c:valAx>
        <c:axId val="130585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30703"/>
        <c:crosses val="max"/>
        <c:crossBetween val="between"/>
      </c:valAx>
      <c:dateAx>
        <c:axId val="142973070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0585665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1028700</xdr:colOff>
      <xdr:row>0</xdr:row>
      <xdr:rowOff>85725</xdr:rowOff>
    </xdr:from>
    <xdr:to>
      <xdr:col>12</xdr:col>
      <xdr:colOff>752682</xdr:colOff>
      <xdr:row>3</xdr:row>
      <xdr:rowOff>24018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315347-25D1-45F8-B26E-351C857F3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85725"/>
          <a:ext cx="1247982" cy="547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47626</xdr:colOff>
      <xdr:row>4</xdr:row>
      <xdr:rowOff>38100</xdr:rowOff>
    </xdr:from>
    <xdr:to>
      <xdr:col>2</xdr:col>
      <xdr:colOff>545523</xdr:colOff>
      <xdr:row>8</xdr:row>
      <xdr:rowOff>180974</xdr:rowOff>
    </xdr:to>
    <xdr:pic>
      <xdr:nvPicPr>
        <xdr:cNvPr id="3" name="docs-internal-guid-86ddb6ac-7fff-6fb8-8e57-53e48db4dc04">
          <a:extLst>
            <a:ext uri="{FF2B5EF4-FFF2-40B4-BE49-F238E27FC236}">
              <a16:creationId xmlns:a16="http://schemas.microsoft.com/office/drawing/2014/main" id="{2472F97B-29EE-4E5E-B37E-B6A1585D7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6" y="847725"/>
          <a:ext cx="736022" cy="971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914400</xdr:colOff>
      <xdr:row>2</xdr:row>
      <xdr:rowOff>104775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981DDC5-2749-4900-9464-65EC18A02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914400</xdr:colOff>
      <xdr:row>2</xdr:row>
      <xdr:rowOff>104775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C759B1B-4599-4CE1-8AB9-FAC8A61D3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914400</xdr:colOff>
      <xdr:row>2</xdr:row>
      <xdr:rowOff>104775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D901982-6C49-49CF-BE59-FCE069304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71436</xdr:rowOff>
    </xdr:from>
    <xdr:to>
      <xdr:col>15</xdr:col>
      <xdr:colOff>66675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08FB4-F98E-47BE-A649-01EAC44D7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na, Anshul" id="{9B136A9D-75DE-4F1A-BE68-2976AFC88CF7}" userId="Rana, Anshu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1" dT="2020-10-30T00:14:31.48" personId="{9B136A9D-75DE-4F1A-BE68-2976AFC88CF7}" id="{AA09B2FC-91A7-4B58-8F30-D60FA9ADBE69}">
    <text>Reporting standards changed for minority interest, original could count their revenue as part of your own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9CCF-17EC-4F72-8E78-95896F5F3690}">
  <sheetPr>
    <tabColor rgb="FF002060"/>
  </sheetPr>
  <dimension ref="B2:R26"/>
  <sheetViews>
    <sheetView showGridLines="0" tabSelected="1" workbookViewId="0"/>
  </sheetViews>
  <sheetFormatPr defaultColWidth="8.875" defaultRowHeight="15.75" x14ac:dyDescent="0.25"/>
  <cols>
    <col min="2" max="2" width="3.125" customWidth="1"/>
    <col min="7" max="7" width="9.625" bestFit="1" customWidth="1"/>
    <col min="9" max="9" width="16.625" bestFit="1" customWidth="1"/>
    <col min="10" max="10" width="9.625" bestFit="1" customWidth="1"/>
    <col min="12" max="12" width="20" bestFit="1" customWidth="1"/>
    <col min="13" max="13" width="10.125" bestFit="1" customWidth="1"/>
    <col min="18" max="18" width="17.125" bestFit="1" customWidth="1"/>
    <col min="21" max="21" width="9.75" bestFit="1" customWidth="1"/>
  </cols>
  <sheetData>
    <row r="2" spans="2:13" x14ac:dyDescent="0.25">
      <c r="B2" s="33" t="s">
        <v>128</v>
      </c>
      <c r="C2" s="32"/>
      <c r="D2" s="32"/>
      <c r="E2" s="32"/>
      <c r="F2" s="32"/>
      <c r="G2" s="32"/>
    </row>
    <row r="3" spans="2:13" ht="16.5" thickBot="1" x14ac:dyDescent="0.3">
      <c r="B3" s="34"/>
      <c r="C3" s="34" t="s">
        <v>1</v>
      </c>
      <c r="D3" s="34"/>
      <c r="E3" s="34"/>
      <c r="F3" s="34"/>
      <c r="G3" s="34"/>
      <c r="H3" s="85"/>
      <c r="I3" s="85"/>
      <c r="J3" s="85"/>
      <c r="K3" s="85"/>
      <c r="L3" s="85"/>
      <c r="M3" s="85"/>
    </row>
    <row r="4" spans="2:13" ht="16.5" thickBot="1" x14ac:dyDescent="0.3"/>
    <row r="5" spans="2:13" ht="16.5" thickBot="1" x14ac:dyDescent="0.3">
      <c r="D5" s="388" t="s">
        <v>443</v>
      </c>
      <c r="E5" s="389"/>
      <c r="F5" s="389"/>
      <c r="G5" s="390"/>
      <c r="I5" s="189" t="s">
        <v>128</v>
      </c>
      <c r="J5" s="190"/>
      <c r="L5" s="117" t="s">
        <v>129</v>
      </c>
      <c r="M5" s="280">
        <v>1</v>
      </c>
    </row>
    <row r="6" spans="2:13" ht="16.5" thickBot="1" x14ac:dyDescent="0.3">
      <c r="D6" s="80" t="s">
        <v>439</v>
      </c>
      <c r="E6" s="81"/>
      <c r="F6" s="81"/>
      <c r="G6" s="122">
        <f>DCF!H41</f>
        <v>28.31</v>
      </c>
      <c r="I6" s="80" t="s">
        <v>130</v>
      </c>
      <c r="J6" s="375">
        <f>DCF!H31</f>
        <v>7.3074636569442061E-2</v>
      </c>
    </row>
    <row r="7" spans="2:13" ht="16.5" thickBot="1" x14ac:dyDescent="0.3">
      <c r="D7" s="378" t="s">
        <v>440</v>
      </c>
      <c r="E7" s="379"/>
      <c r="F7" s="379"/>
      <c r="G7" s="380">
        <f>DCF!H39</f>
        <v>101.7</v>
      </c>
      <c r="I7" s="80" t="s">
        <v>131</v>
      </c>
      <c r="J7" s="376">
        <f>SUM(DCF!J27:N27)</f>
        <v>2925.5790179706196</v>
      </c>
      <c r="L7" s="189" t="s">
        <v>446</v>
      </c>
      <c r="M7" s="190"/>
    </row>
    <row r="8" spans="2:13" x14ac:dyDescent="0.25">
      <c r="D8" s="80" t="s">
        <v>441</v>
      </c>
      <c r="E8" s="81"/>
      <c r="F8" s="81"/>
      <c r="G8" s="370">
        <f>G6*G7</f>
        <v>2879.127</v>
      </c>
      <c r="I8" s="80" t="s">
        <v>132</v>
      </c>
      <c r="J8" s="187">
        <f>CHOOSE(M5,M9,M16)</f>
        <v>11649.251940595474</v>
      </c>
      <c r="L8" s="80" t="s">
        <v>133</v>
      </c>
      <c r="M8" s="229">
        <f>Comps!$N$24</f>
        <v>6.6552309999999997</v>
      </c>
    </row>
    <row r="9" spans="2:13" x14ac:dyDescent="0.25">
      <c r="D9" s="378" t="s">
        <v>442</v>
      </c>
      <c r="E9" s="379"/>
      <c r="F9" s="379"/>
      <c r="G9" s="391">
        <f>Comps!H7</f>
        <v>10495.174999999999</v>
      </c>
      <c r="I9" s="80" t="s">
        <v>134</v>
      </c>
      <c r="J9" s="187">
        <f>J8/(1+J6)^4.25</f>
        <v>8632.1869180767117</v>
      </c>
      <c r="L9" s="80" t="s">
        <v>132</v>
      </c>
      <c r="M9" s="240">
        <f>DCF!N16*Summary!M8</f>
        <v>11649.251940595474</v>
      </c>
    </row>
    <row r="10" spans="2:13" ht="16.5" thickBot="1" x14ac:dyDescent="0.3">
      <c r="D10" s="392" t="s">
        <v>444</v>
      </c>
      <c r="E10" s="387"/>
      <c r="F10" s="387"/>
      <c r="G10" s="393"/>
      <c r="I10" s="80" t="s">
        <v>135</v>
      </c>
      <c r="J10" s="187">
        <f>J9+J7</f>
        <v>11557.765936047332</v>
      </c>
      <c r="L10" s="84" t="s">
        <v>136</v>
      </c>
      <c r="M10" s="191">
        <f>(M9*J6-M13)/(M13+M9)</f>
        <v>7.9145642458865115E-3</v>
      </c>
    </row>
    <row r="11" spans="2:13" ht="16.5" thickBot="1" x14ac:dyDescent="0.3">
      <c r="D11" s="80" t="s">
        <v>149</v>
      </c>
      <c r="E11" s="81"/>
      <c r="F11" s="81"/>
      <c r="G11" s="214">
        <f>Comps!$N$7</f>
        <v>6.859591</v>
      </c>
      <c r="I11" s="80" t="s">
        <v>137</v>
      </c>
      <c r="J11" s="240">
        <f>-('Balance Sheet'!$I$29+'Balance Sheet'!$I$30+'Balance Sheet'!$I$37)-'Balance Sheet'!$I$9</f>
        <v>-7982</v>
      </c>
    </row>
    <row r="12" spans="2:13" x14ac:dyDescent="0.25">
      <c r="D12" s="378" t="s">
        <v>445</v>
      </c>
      <c r="E12" s="379"/>
      <c r="F12" s="379"/>
      <c r="G12" s="382">
        <f>Comps!$M$7</f>
        <v>24.407382999999999</v>
      </c>
      <c r="I12" s="80" t="s">
        <v>138</v>
      </c>
      <c r="J12" s="240">
        <f>-'Balance Sheet'!$I$43</f>
        <v>-271</v>
      </c>
      <c r="L12" s="184" t="s">
        <v>447</v>
      </c>
      <c r="M12" s="185"/>
    </row>
    <row r="13" spans="2:13" x14ac:dyDescent="0.25">
      <c r="D13" s="371" t="s">
        <v>448</v>
      </c>
      <c r="E13" s="384"/>
      <c r="F13" s="81"/>
      <c r="G13" s="214">
        <f>Comps!$O$7</f>
        <v>2.420474</v>
      </c>
      <c r="I13" s="80" t="s">
        <v>139</v>
      </c>
      <c r="J13" s="187">
        <f>J10+J11+J12</f>
        <v>3304.7659360473317</v>
      </c>
      <c r="L13" s="80" t="s">
        <v>140</v>
      </c>
      <c r="M13" s="240">
        <f>DCF!N25</f>
        <v>753.10559633836419</v>
      </c>
    </row>
    <row r="14" spans="2:13" x14ac:dyDescent="0.25">
      <c r="D14" s="378" t="s">
        <v>377</v>
      </c>
      <c r="E14" s="379"/>
      <c r="F14" s="379"/>
      <c r="G14" s="394">
        <f>DCF!$H$36</f>
        <v>-7982</v>
      </c>
      <c r="I14" s="80" t="s">
        <v>141</v>
      </c>
      <c r="J14" s="122">
        <f>G7</f>
        <v>101.7</v>
      </c>
      <c r="L14" s="80" t="s">
        <v>142</v>
      </c>
      <c r="M14" s="192">
        <f>J6</f>
        <v>7.3074636569442061E-2</v>
      </c>
    </row>
    <row r="15" spans="2:13" x14ac:dyDescent="0.25">
      <c r="D15" s="392" t="s">
        <v>454</v>
      </c>
      <c r="E15" s="387"/>
      <c r="F15" s="387"/>
      <c r="G15" s="393"/>
      <c r="I15" s="80" t="s">
        <v>143</v>
      </c>
      <c r="J15" s="142">
        <f>J13/J14</f>
        <v>32.495240275784973</v>
      </c>
      <c r="L15" s="80" t="s">
        <v>144</v>
      </c>
      <c r="M15" s="281">
        <v>0.01</v>
      </c>
    </row>
    <row r="16" spans="2:13" x14ac:dyDescent="0.25">
      <c r="D16" s="80"/>
      <c r="E16" s="73">
        <v>2017</v>
      </c>
      <c r="F16" s="73">
        <v>2018</v>
      </c>
      <c r="G16" s="395">
        <v>2019</v>
      </c>
      <c r="I16" s="80" t="s">
        <v>145</v>
      </c>
      <c r="J16" s="122">
        <f>G6</f>
        <v>28.31</v>
      </c>
      <c r="L16" s="80" t="s">
        <v>132</v>
      </c>
      <c r="M16" s="83">
        <f>M13*(1+M15)/(M14-M15)</f>
        <v>12059.310900100461</v>
      </c>
    </row>
    <row r="17" spans="4:18" ht="16.5" thickBot="1" x14ac:dyDescent="0.3">
      <c r="D17" s="378" t="s">
        <v>118</v>
      </c>
      <c r="E17" s="386">
        <v>3919.3320000000003</v>
      </c>
      <c r="F17" s="386">
        <v>3944.9888000000001</v>
      </c>
      <c r="G17" s="394">
        <v>4335.58</v>
      </c>
      <c r="I17" s="84" t="s">
        <v>146</v>
      </c>
      <c r="J17" s="188">
        <f>J15/J16-1</f>
        <v>0.14783611005951869</v>
      </c>
      <c r="L17" s="84" t="s">
        <v>147</v>
      </c>
      <c r="M17" s="193">
        <f>M16/DCF!N16</f>
        <v>6.8894981540663611</v>
      </c>
    </row>
    <row r="18" spans="4:18" x14ac:dyDescent="0.25">
      <c r="D18" s="103" t="s">
        <v>23</v>
      </c>
      <c r="E18" s="237">
        <v>1.1701600413009938E-2</v>
      </c>
      <c r="F18" s="237">
        <v>6.5462175697286185E-3</v>
      </c>
      <c r="G18" s="238">
        <v>9.9009457263858458E-2</v>
      </c>
    </row>
    <row r="19" spans="4:18" x14ac:dyDescent="0.25">
      <c r="D19" s="378" t="s">
        <v>119</v>
      </c>
      <c r="E19" s="386">
        <v>424.33200000000033</v>
      </c>
      <c r="F19" s="386">
        <v>472.98880000000008</v>
      </c>
      <c r="G19" s="394">
        <v>447.57999999999993</v>
      </c>
    </row>
    <row r="20" spans="4:18" x14ac:dyDescent="0.25">
      <c r="D20" s="103" t="s">
        <v>58</v>
      </c>
      <c r="E20" s="237">
        <f>E19/E17</f>
        <v>0.10826640866351722</v>
      </c>
      <c r="F20" s="237">
        <f t="shared" ref="F20:G20" si="0">F19/F17</f>
        <v>0.11989610718286452</v>
      </c>
      <c r="G20" s="238">
        <f t="shared" si="0"/>
        <v>0.10323416936142336</v>
      </c>
    </row>
    <row r="21" spans="4:18" x14ac:dyDescent="0.25">
      <c r="D21" s="378" t="s">
        <v>122</v>
      </c>
      <c r="E21" s="386">
        <v>1236.3320000000003</v>
      </c>
      <c r="F21" s="386">
        <v>1274.9888000000001</v>
      </c>
      <c r="G21" s="394">
        <v>1547.58</v>
      </c>
    </row>
    <row r="22" spans="4:18" x14ac:dyDescent="0.25">
      <c r="D22" s="103" t="s">
        <v>58</v>
      </c>
      <c r="E22" s="237">
        <f>E21/E17</f>
        <v>0.31544457065642822</v>
      </c>
      <c r="F22" s="237">
        <f t="shared" ref="F22:G22" si="1">F21/F17</f>
        <v>0.323191994867007</v>
      </c>
      <c r="G22" s="238">
        <f t="shared" si="1"/>
        <v>0.35694878193920998</v>
      </c>
    </row>
    <row r="23" spans="4:18" ht="16.5" thickBot="1" x14ac:dyDescent="0.3">
      <c r="D23" s="381" t="s">
        <v>162</v>
      </c>
      <c r="E23" s="396">
        <v>70.332000000000335</v>
      </c>
      <c r="F23" s="396">
        <v>-11.011199999999917</v>
      </c>
      <c r="G23" s="383">
        <v>148.57999999999993</v>
      </c>
    </row>
    <row r="26" spans="4:18" x14ac:dyDescent="0.25">
      <c r="R26" s="385"/>
    </row>
  </sheetData>
  <dataValidations count="1">
    <dataValidation type="list" allowBlank="1" showInputMessage="1" showErrorMessage="1" sqref="M5" xr:uid="{5D1E09DB-EA42-406B-BDE9-BEE573E5D0FD}">
      <formula1>"1,2"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518-86D1-4924-BE31-A5A4AD0BED20}">
  <sheetPr>
    <tabColor theme="7"/>
    <outlinePr summaryBelow="0" summaryRight="0"/>
    <pageSetUpPr autoPageBreaks="0"/>
  </sheetPr>
  <dimension ref="A5:IU103"/>
  <sheetViews>
    <sheetView showGridLines="0" workbookViewId="0"/>
  </sheetViews>
  <sheetFormatPr defaultColWidth="9" defaultRowHeight="11.25" x14ac:dyDescent="0.2"/>
  <cols>
    <col min="1" max="1" width="40.125" style="1" customWidth="1"/>
    <col min="2" max="7" width="13" style="1" customWidth="1"/>
    <col min="8" max="16384" width="9" style="1"/>
  </cols>
  <sheetData>
    <row r="5" spans="1:255" ht="15.75" x14ac:dyDescent="0.2">
      <c r="A5" s="26" t="s">
        <v>324</v>
      </c>
    </row>
    <row r="7" spans="1:255" x14ac:dyDescent="0.2">
      <c r="A7" s="25" t="s">
        <v>216</v>
      </c>
      <c r="B7" s="23" t="s">
        <v>217</v>
      </c>
      <c r="C7" s="1" t="s">
        <v>218</v>
      </c>
      <c r="D7" s="4" t="s">
        <v>219</v>
      </c>
      <c r="E7" s="23" t="s">
        <v>220</v>
      </c>
      <c r="F7" s="1" t="s">
        <v>221</v>
      </c>
    </row>
    <row r="8" spans="1:255" x14ac:dyDescent="0.2">
      <c r="A8" s="4"/>
      <c r="B8" s="23" t="s">
        <v>222</v>
      </c>
      <c r="C8" s="1" t="s">
        <v>223</v>
      </c>
      <c r="D8" s="4" t="s">
        <v>219</v>
      </c>
      <c r="E8" s="23" t="s">
        <v>224</v>
      </c>
      <c r="F8" s="1" t="s">
        <v>225</v>
      </c>
    </row>
    <row r="9" spans="1:255" x14ac:dyDescent="0.2">
      <c r="A9" s="4"/>
      <c r="B9" s="23" t="s">
        <v>226</v>
      </c>
      <c r="C9" s="1" t="s">
        <v>227</v>
      </c>
      <c r="D9" s="4" t="s">
        <v>219</v>
      </c>
      <c r="E9" s="23" t="s">
        <v>228</v>
      </c>
      <c r="F9" s="1" t="s">
        <v>229</v>
      </c>
    </row>
    <row r="10" spans="1:255" x14ac:dyDescent="0.2">
      <c r="A10" s="4"/>
      <c r="B10" s="23" t="s">
        <v>230</v>
      </c>
      <c r="C10" s="1" t="s">
        <v>231</v>
      </c>
      <c r="D10" s="4" t="s">
        <v>219</v>
      </c>
      <c r="E10" s="23" t="s">
        <v>232</v>
      </c>
      <c r="F10" s="24" t="s">
        <v>233</v>
      </c>
    </row>
    <row r="11" spans="1:255" x14ac:dyDescent="0.2">
      <c r="A11" s="4"/>
      <c r="B11" s="23" t="s">
        <v>234</v>
      </c>
      <c r="C11" s="1" t="s">
        <v>235</v>
      </c>
      <c r="D11" s="4" t="s">
        <v>219</v>
      </c>
      <c r="E11" s="22"/>
      <c r="F11" s="22"/>
    </row>
    <row r="14" spans="1:255" x14ac:dyDescent="0.2">
      <c r="A14" s="21" t="s">
        <v>74</v>
      </c>
      <c r="B14" s="21"/>
      <c r="C14" s="21"/>
      <c r="D14" s="21"/>
      <c r="E14" s="21"/>
      <c r="F14" s="21"/>
      <c r="G14" s="21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</row>
    <row r="15" spans="1:255" ht="22.5" x14ac:dyDescent="0.2">
      <c r="A15" s="19" t="s">
        <v>325</v>
      </c>
      <c r="B15" s="18" t="s">
        <v>326</v>
      </c>
      <c r="C15" s="18" t="s">
        <v>327</v>
      </c>
      <c r="D15" s="18" t="s">
        <v>328</v>
      </c>
      <c r="E15" s="18" t="s">
        <v>329</v>
      </c>
      <c r="F15" s="30">
        <v>43830</v>
      </c>
      <c r="G15" s="30">
        <v>44012</v>
      </c>
    </row>
    <row r="16" spans="1:255" x14ac:dyDescent="0.2">
      <c r="A16" s="17" t="s">
        <v>243</v>
      </c>
      <c r="B16" s="16" t="s">
        <v>244</v>
      </c>
      <c r="C16" s="16" t="s">
        <v>244</v>
      </c>
      <c r="D16" s="16" t="s">
        <v>244</v>
      </c>
      <c r="E16" s="16" t="s">
        <v>244</v>
      </c>
      <c r="F16" s="16" t="s">
        <v>244</v>
      </c>
      <c r="G16" s="16" t="s">
        <v>244</v>
      </c>
    </row>
    <row r="17" spans="1:7" x14ac:dyDescent="0.2">
      <c r="A17" s="6" t="s">
        <v>330</v>
      </c>
      <c r="B17" s="4"/>
      <c r="C17" s="4"/>
      <c r="D17" s="4"/>
      <c r="E17" s="4"/>
      <c r="F17" s="4"/>
      <c r="G17" s="4"/>
    </row>
    <row r="18" spans="1:7" x14ac:dyDescent="0.2">
      <c r="A18" s="4" t="s">
        <v>331</v>
      </c>
      <c r="B18" s="7">
        <v>769</v>
      </c>
      <c r="C18" s="7">
        <v>646</v>
      </c>
      <c r="D18" s="7">
        <v>619</v>
      </c>
      <c r="E18" s="7">
        <v>528</v>
      </c>
      <c r="F18" s="7">
        <v>1164</v>
      </c>
      <c r="G18" s="7">
        <v>1186</v>
      </c>
    </row>
    <row r="19" spans="1:7" x14ac:dyDescent="0.2">
      <c r="A19" s="4" t="s">
        <v>332</v>
      </c>
      <c r="B19" s="7" t="s">
        <v>247</v>
      </c>
      <c r="C19" s="7" t="s">
        <v>247</v>
      </c>
      <c r="D19" s="7" t="s">
        <v>247</v>
      </c>
      <c r="E19" s="7" t="s">
        <v>247</v>
      </c>
      <c r="F19" s="7">
        <v>371</v>
      </c>
      <c r="G19" s="7" t="s">
        <v>247</v>
      </c>
    </row>
    <row r="20" spans="1:7" x14ac:dyDescent="0.2">
      <c r="A20" s="4" t="s">
        <v>333</v>
      </c>
      <c r="B20" s="7" t="s">
        <v>247</v>
      </c>
      <c r="C20" s="7" t="s">
        <v>247</v>
      </c>
      <c r="D20" s="7" t="s">
        <v>247</v>
      </c>
      <c r="E20" s="7" t="s">
        <v>247</v>
      </c>
      <c r="F20" s="7" t="s">
        <v>247</v>
      </c>
      <c r="G20" s="7">
        <v>237</v>
      </c>
    </row>
    <row r="21" spans="1:7" x14ac:dyDescent="0.2">
      <c r="A21" s="6" t="s">
        <v>334</v>
      </c>
      <c r="B21" s="15">
        <v>769</v>
      </c>
      <c r="C21" s="15">
        <v>646</v>
      </c>
      <c r="D21" s="15">
        <v>619</v>
      </c>
      <c r="E21" s="15">
        <v>528</v>
      </c>
      <c r="F21" s="15">
        <v>1535</v>
      </c>
      <c r="G21" s="15">
        <v>1423</v>
      </c>
    </row>
    <row r="22" spans="1:7" x14ac:dyDescent="0.2">
      <c r="A22" s="4"/>
      <c r="B22" s="4"/>
      <c r="C22" s="4"/>
      <c r="D22" s="4"/>
      <c r="E22" s="4"/>
      <c r="F22" s="4"/>
      <c r="G22" s="4"/>
    </row>
    <row r="23" spans="1:7" x14ac:dyDescent="0.2">
      <c r="A23" s="4" t="s">
        <v>335</v>
      </c>
      <c r="B23" s="7">
        <v>403</v>
      </c>
      <c r="C23" s="7">
        <v>391</v>
      </c>
      <c r="D23" s="7">
        <v>389</v>
      </c>
      <c r="E23" s="7">
        <v>385</v>
      </c>
      <c r="F23" s="7">
        <v>415</v>
      </c>
      <c r="G23" s="7">
        <v>394</v>
      </c>
    </row>
    <row r="24" spans="1:7" x14ac:dyDescent="0.2">
      <c r="A24" s="4" t="s">
        <v>336</v>
      </c>
      <c r="B24" s="7">
        <v>129</v>
      </c>
      <c r="C24" s="7">
        <v>104</v>
      </c>
      <c r="D24" s="7">
        <v>125</v>
      </c>
      <c r="E24" s="7">
        <v>131</v>
      </c>
      <c r="F24" s="7">
        <v>145</v>
      </c>
      <c r="G24" s="7">
        <v>130</v>
      </c>
    </row>
    <row r="25" spans="1:7" x14ac:dyDescent="0.2">
      <c r="A25" s="4" t="s">
        <v>337</v>
      </c>
      <c r="B25" s="7">
        <v>7</v>
      </c>
      <c r="C25" s="7" t="s">
        <v>247</v>
      </c>
      <c r="D25" s="7" t="s">
        <v>247</v>
      </c>
      <c r="E25" s="7" t="s">
        <v>247</v>
      </c>
      <c r="F25" s="7" t="s">
        <v>247</v>
      </c>
      <c r="G25" s="7" t="s">
        <v>247</v>
      </c>
    </row>
    <row r="26" spans="1:7" x14ac:dyDescent="0.2">
      <c r="A26" s="6" t="s">
        <v>338</v>
      </c>
      <c r="B26" s="15">
        <v>539</v>
      </c>
      <c r="C26" s="15">
        <v>495</v>
      </c>
      <c r="D26" s="15">
        <v>514</v>
      </c>
      <c r="E26" s="15">
        <v>516</v>
      </c>
      <c r="F26" s="15">
        <v>560</v>
      </c>
      <c r="G26" s="15">
        <v>524</v>
      </c>
    </row>
    <row r="27" spans="1:7" x14ac:dyDescent="0.2">
      <c r="A27" s="4"/>
      <c r="B27" s="4"/>
      <c r="C27" s="4"/>
      <c r="D27" s="4"/>
      <c r="E27" s="4"/>
      <c r="F27" s="4"/>
      <c r="G27" s="4"/>
    </row>
    <row r="28" spans="1:7" x14ac:dyDescent="0.2">
      <c r="A28" s="4" t="s">
        <v>339</v>
      </c>
      <c r="B28" s="7">
        <v>80</v>
      </c>
      <c r="C28" s="7">
        <v>62</v>
      </c>
      <c r="D28" s="7">
        <v>45</v>
      </c>
      <c r="E28" s="7">
        <v>39</v>
      </c>
      <c r="F28" s="7">
        <v>32</v>
      </c>
      <c r="G28" s="7">
        <v>36</v>
      </c>
    </row>
    <row r="29" spans="1:7" x14ac:dyDescent="0.2">
      <c r="A29" s="4" t="s">
        <v>340</v>
      </c>
      <c r="B29" s="7">
        <v>193</v>
      </c>
      <c r="C29" s="7">
        <v>171</v>
      </c>
      <c r="D29" s="7">
        <v>145</v>
      </c>
      <c r="E29" s="7">
        <v>129</v>
      </c>
      <c r="F29" s="7">
        <v>156</v>
      </c>
      <c r="G29" s="7">
        <v>187</v>
      </c>
    </row>
    <row r="30" spans="1:7" x14ac:dyDescent="0.2">
      <c r="A30" s="4" t="s">
        <v>341</v>
      </c>
      <c r="B30" s="7">
        <v>142</v>
      </c>
      <c r="C30" s="7">
        <v>145</v>
      </c>
      <c r="D30" s="7">
        <v>145</v>
      </c>
      <c r="E30" s="7">
        <v>158</v>
      </c>
      <c r="F30" s="7">
        <v>155</v>
      </c>
      <c r="G30" s="7">
        <v>167</v>
      </c>
    </row>
    <row r="31" spans="1:7" x14ac:dyDescent="0.2">
      <c r="A31" s="4" t="s">
        <v>80</v>
      </c>
      <c r="B31" s="7">
        <v>160</v>
      </c>
      <c r="C31" s="7">
        <v>148</v>
      </c>
      <c r="D31" s="7">
        <v>349</v>
      </c>
      <c r="E31" s="7">
        <v>158</v>
      </c>
      <c r="F31" s="7">
        <v>208</v>
      </c>
      <c r="G31" s="7">
        <v>202</v>
      </c>
    </row>
    <row r="32" spans="1:7" x14ac:dyDescent="0.2">
      <c r="A32" s="6" t="s">
        <v>342</v>
      </c>
      <c r="B32" s="15">
        <v>1883</v>
      </c>
      <c r="C32" s="15">
        <v>1667</v>
      </c>
      <c r="D32" s="15">
        <v>1817</v>
      </c>
      <c r="E32" s="15">
        <v>1528</v>
      </c>
      <c r="F32" s="15">
        <v>2646</v>
      </c>
      <c r="G32" s="15">
        <v>2539</v>
      </c>
    </row>
    <row r="33" spans="1:7" x14ac:dyDescent="0.2">
      <c r="A33" s="4"/>
      <c r="B33" s="4"/>
      <c r="C33" s="4"/>
      <c r="D33" s="4"/>
      <c r="E33" s="4"/>
      <c r="F33" s="4"/>
      <c r="G33" s="4"/>
    </row>
    <row r="34" spans="1:7" x14ac:dyDescent="0.2">
      <c r="A34" s="4" t="s">
        <v>343</v>
      </c>
      <c r="B34" s="7">
        <v>6753</v>
      </c>
      <c r="C34" s="7">
        <v>7047</v>
      </c>
      <c r="D34" s="7">
        <v>7038</v>
      </c>
      <c r="E34" s="7">
        <v>7790</v>
      </c>
      <c r="F34" s="7">
        <v>9050</v>
      </c>
      <c r="G34" s="7" t="s">
        <v>247</v>
      </c>
    </row>
    <row r="35" spans="1:7" x14ac:dyDescent="0.2">
      <c r="A35" s="4" t="s">
        <v>344</v>
      </c>
      <c r="B35" s="7">
        <v>-3555</v>
      </c>
      <c r="C35" s="7">
        <v>-3990</v>
      </c>
      <c r="D35" s="7">
        <v>-4158</v>
      </c>
      <c r="E35" s="7">
        <v>-4719</v>
      </c>
      <c r="F35" s="7">
        <v>-5190</v>
      </c>
      <c r="G35" s="7" t="s">
        <v>247</v>
      </c>
    </row>
    <row r="36" spans="1:7" x14ac:dyDescent="0.2">
      <c r="A36" s="6" t="s">
        <v>345</v>
      </c>
      <c r="B36" s="15">
        <v>3198</v>
      </c>
      <c r="C36" s="15">
        <v>3057</v>
      </c>
      <c r="D36" s="15">
        <v>2880</v>
      </c>
      <c r="E36" s="15">
        <v>3071</v>
      </c>
      <c r="F36" s="15">
        <v>3860</v>
      </c>
      <c r="G36" s="15">
        <v>3506</v>
      </c>
    </row>
    <row r="37" spans="1:7" x14ac:dyDescent="0.2">
      <c r="A37" s="4"/>
      <c r="B37" s="4"/>
      <c r="C37" s="4"/>
      <c r="D37" s="4"/>
      <c r="E37" s="4"/>
      <c r="F37" s="4"/>
      <c r="G37" s="4"/>
    </row>
    <row r="38" spans="1:7" x14ac:dyDescent="0.2">
      <c r="A38" s="4" t="s">
        <v>346</v>
      </c>
      <c r="B38" s="7">
        <v>3622</v>
      </c>
      <c r="C38" s="7">
        <v>3308</v>
      </c>
      <c r="D38" s="7">
        <v>3207</v>
      </c>
      <c r="E38" s="7">
        <v>3036</v>
      </c>
      <c r="F38" s="7">
        <v>2822</v>
      </c>
      <c r="G38" s="7">
        <v>2696</v>
      </c>
    </row>
    <row r="39" spans="1:7" x14ac:dyDescent="0.2">
      <c r="A39" s="4" t="s">
        <v>347</v>
      </c>
      <c r="B39" s="7">
        <v>621</v>
      </c>
      <c r="C39" s="7">
        <v>615</v>
      </c>
      <c r="D39" s="7">
        <v>599</v>
      </c>
      <c r="E39" s="7">
        <v>1069</v>
      </c>
      <c r="F39" s="7">
        <v>1712</v>
      </c>
      <c r="G39" s="7" t="s">
        <v>247</v>
      </c>
    </row>
    <row r="40" spans="1:7" x14ac:dyDescent="0.2">
      <c r="A40" s="4" t="s">
        <v>348</v>
      </c>
      <c r="B40" s="7">
        <v>808</v>
      </c>
      <c r="C40" s="7">
        <v>744</v>
      </c>
      <c r="D40" s="7">
        <v>666</v>
      </c>
      <c r="E40" s="7">
        <v>1277</v>
      </c>
      <c r="F40" s="7">
        <v>1507</v>
      </c>
      <c r="G40" s="7">
        <v>3477</v>
      </c>
    </row>
    <row r="41" spans="1:7" x14ac:dyDescent="0.2">
      <c r="A41" s="4" t="s">
        <v>349</v>
      </c>
      <c r="B41" s="7">
        <v>0</v>
      </c>
      <c r="C41" s="7">
        <v>0</v>
      </c>
      <c r="D41" s="7">
        <v>40</v>
      </c>
      <c r="E41" s="7">
        <v>41</v>
      </c>
      <c r="F41" s="7">
        <v>43</v>
      </c>
      <c r="G41" s="7">
        <v>44</v>
      </c>
    </row>
    <row r="42" spans="1:7" x14ac:dyDescent="0.2">
      <c r="A42" s="4" t="s">
        <v>350</v>
      </c>
      <c r="B42" s="7">
        <v>188</v>
      </c>
      <c r="C42" s="7">
        <v>166</v>
      </c>
      <c r="D42" s="7">
        <v>180</v>
      </c>
      <c r="E42" s="7">
        <v>202</v>
      </c>
      <c r="F42" s="7">
        <v>200</v>
      </c>
      <c r="G42" s="7">
        <v>224</v>
      </c>
    </row>
    <row r="43" spans="1:7" x14ac:dyDescent="0.2">
      <c r="A43" s="4" t="s">
        <v>351</v>
      </c>
      <c r="B43" s="7">
        <v>0</v>
      </c>
      <c r="C43" s="7">
        <v>0</v>
      </c>
      <c r="D43" s="7">
        <v>0</v>
      </c>
      <c r="E43" s="7">
        <v>4</v>
      </c>
      <c r="F43" s="7">
        <v>5</v>
      </c>
      <c r="G43" s="7">
        <v>4</v>
      </c>
    </row>
    <row r="44" spans="1:7" x14ac:dyDescent="0.2">
      <c r="A44" s="4" t="s">
        <v>87</v>
      </c>
      <c r="B44" s="7">
        <v>75</v>
      </c>
      <c r="C44" s="7">
        <v>70</v>
      </c>
      <c r="D44" s="7">
        <v>75</v>
      </c>
      <c r="E44" s="7">
        <v>85</v>
      </c>
      <c r="F44" s="7">
        <v>61</v>
      </c>
      <c r="G44" s="7">
        <v>62</v>
      </c>
    </row>
    <row r="45" spans="1:7" x14ac:dyDescent="0.2">
      <c r="A45" s="6" t="s">
        <v>88</v>
      </c>
      <c r="B45" s="14">
        <v>10395</v>
      </c>
      <c r="C45" s="14">
        <v>9627</v>
      </c>
      <c r="D45" s="14">
        <v>9464</v>
      </c>
      <c r="E45" s="14">
        <v>10313</v>
      </c>
      <c r="F45" s="14">
        <v>12856</v>
      </c>
      <c r="G45" s="14">
        <v>12552</v>
      </c>
    </row>
    <row r="46" spans="1:7" x14ac:dyDescent="0.2">
      <c r="A46" s="4"/>
      <c r="B46" s="4"/>
      <c r="C46" s="4"/>
      <c r="D46" s="4"/>
      <c r="E46" s="4"/>
      <c r="F46" s="4"/>
      <c r="G46" s="4"/>
    </row>
    <row r="47" spans="1:7" x14ac:dyDescent="0.2">
      <c r="A47" s="6" t="s">
        <v>352</v>
      </c>
      <c r="B47" s="4"/>
      <c r="C47" s="4"/>
      <c r="D47" s="4"/>
      <c r="E47" s="4"/>
      <c r="F47" s="4"/>
      <c r="G47" s="4"/>
    </row>
    <row r="48" spans="1:7" x14ac:dyDescent="0.2">
      <c r="A48" s="4" t="s">
        <v>90</v>
      </c>
      <c r="B48" s="7">
        <v>915</v>
      </c>
      <c r="C48" s="7">
        <v>570</v>
      </c>
      <c r="D48" s="7">
        <v>584</v>
      </c>
      <c r="E48" s="7">
        <v>630</v>
      </c>
      <c r="F48" s="7">
        <v>426</v>
      </c>
      <c r="G48" s="7">
        <v>408</v>
      </c>
    </row>
    <row r="49" spans="1:7" x14ac:dyDescent="0.2">
      <c r="A49" s="4" t="s">
        <v>353</v>
      </c>
      <c r="B49" s="7">
        <v>485</v>
      </c>
      <c r="C49" s="7">
        <v>420</v>
      </c>
      <c r="D49" s="7">
        <v>410</v>
      </c>
      <c r="E49" s="7">
        <v>449</v>
      </c>
      <c r="F49" s="7">
        <v>506</v>
      </c>
      <c r="G49" s="7">
        <v>434</v>
      </c>
    </row>
    <row r="50" spans="1:7" x14ac:dyDescent="0.2">
      <c r="A50" s="4" t="s">
        <v>354</v>
      </c>
      <c r="B50" s="7">
        <v>135</v>
      </c>
      <c r="C50" s="7">
        <v>10</v>
      </c>
      <c r="D50" s="7">
        <v>40</v>
      </c>
      <c r="E50" s="7">
        <v>289</v>
      </c>
      <c r="F50" s="7">
        <v>57</v>
      </c>
      <c r="G50" s="7" t="s">
        <v>247</v>
      </c>
    </row>
    <row r="51" spans="1:7" x14ac:dyDescent="0.2">
      <c r="A51" s="4" t="s">
        <v>355</v>
      </c>
      <c r="B51" s="7">
        <v>77</v>
      </c>
      <c r="C51" s="7">
        <v>65</v>
      </c>
      <c r="D51" s="7">
        <v>198</v>
      </c>
      <c r="E51" s="7">
        <v>169</v>
      </c>
      <c r="F51" s="7">
        <v>153</v>
      </c>
      <c r="G51" s="7">
        <v>112</v>
      </c>
    </row>
    <row r="52" spans="1:7" x14ac:dyDescent="0.2">
      <c r="A52" s="4" t="s">
        <v>356</v>
      </c>
      <c r="B52" s="7">
        <v>9</v>
      </c>
      <c r="C52" s="7">
        <v>5</v>
      </c>
      <c r="D52" s="7">
        <v>3</v>
      </c>
      <c r="E52" s="7">
        <v>0</v>
      </c>
      <c r="F52" s="7">
        <v>97</v>
      </c>
      <c r="G52" s="7">
        <v>118</v>
      </c>
    </row>
    <row r="53" spans="1:7" x14ac:dyDescent="0.2">
      <c r="A53" s="4" t="s">
        <v>357</v>
      </c>
      <c r="B53" s="7">
        <v>124</v>
      </c>
      <c r="C53" s="7">
        <v>68</v>
      </c>
      <c r="D53" s="7">
        <v>81</v>
      </c>
      <c r="E53" s="7">
        <v>55</v>
      </c>
      <c r="F53" s="7">
        <v>75</v>
      </c>
      <c r="G53" s="7">
        <v>113</v>
      </c>
    </row>
    <row r="54" spans="1:7" x14ac:dyDescent="0.2">
      <c r="A54" s="4" t="s">
        <v>358</v>
      </c>
      <c r="B54" s="7">
        <v>121</v>
      </c>
      <c r="C54" s="7">
        <v>112</v>
      </c>
      <c r="D54" s="7">
        <v>86</v>
      </c>
      <c r="E54" s="7">
        <v>172</v>
      </c>
      <c r="F54" s="7">
        <v>159</v>
      </c>
      <c r="G54" s="7">
        <v>77</v>
      </c>
    </row>
    <row r="55" spans="1:7" x14ac:dyDescent="0.2">
      <c r="A55" s="4" t="s">
        <v>97</v>
      </c>
      <c r="B55" s="7">
        <v>591</v>
      </c>
      <c r="C55" s="7">
        <v>647</v>
      </c>
      <c r="D55" s="7">
        <v>665</v>
      </c>
      <c r="E55" s="7">
        <v>912</v>
      </c>
      <c r="F55" s="7">
        <v>933</v>
      </c>
      <c r="G55" s="7">
        <v>987</v>
      </c>
    </row>
    <row r="56" spans="1:7" x14ac:dyDescent="0.2">
      <c r="A56" s="6" t="s">
        <v>359</v>
      </c>
      <c r="B56" s="15">
        <v>2457</v>
      </c>
      <c r="C56" s="15">
        <v>1897</v>
      </c>
      <c r="D56" s="15">
        <v>2067</v>
      </c>
      <c r="E56" s="15">
        <v>2676</v>
      </c>
      <c r="F56" s="15">
        <v>2406</v>
      </c>
      <c r="G56" s="15">
        <v>2249</v>
      </c>
    </row>
    <row r="57" spans="1:7" x14ac:dyDescent="0.2">
      <c r="A57" s="4"/>
      <c r="B57" s="4"/>
      <c r="C57" s="4"/>
      <c r="D57" s="4"/>
      <c r="E57" s="4"/>
      <c r="F57" s="4"/>
      <c r="G57" s="4"/>
    </row>
    <row r="58" spans="1:7" x14ac:dyDescent="0.2">
      <c r="A58" s="4" t="s">
        <v>99</v>
      </c>
      <c r="B58" s="7">
        <v>3527</v>
      </c>
      <c r="C58" s="7">
        <v>3615</v>
      </c>
      <c r="D58" s="7">
        <v>3238</v>
      </c>
      <c r="E58" s="7">
        <v>3905</v>
      </c>
      <c r="F58" s="7">
        <v>6140</v>
      </c>
      <c r="G58" s="7">
        <v>6102</v>
      </c>
    </row>
    <row r="59" spans="1:7" x14ac:dyDescent="0.2">
      <c r="A59" s="4" t="s">
        <v>100</v>
      </c>
      <c r="B59" s="7">
        <v>327</v>
      </c>
      <c r="C59" s="7">
        <v>290</v>
      </c>
      <c r="D59" s="7">
        <v>362</v>
      </c>
      <c r="E59" s="7">
        <v>353</v>
      </c>
      <c r="F59" s="7">
        <v>967</v>
      </c>
      <c r="G59" s="7">
        <v>894</v>
      </c>
    </row>
    <row r="60" spans="1:7" x14ac:dyDescent="0.2">
      <c r="A60" s="4" t="s">
        <v>360</v>
      </c>
      <c r="B60" s="7">
        <v>24</v>
      </c>
      <c r="C60" s="7">
        <v>18</v>
      </c>
      <c r="D60" s="7">
        <v>73</v>
      </c>
      <c r="E60" s="7">
        <v>85</v>
      </c>
      <c r="F60" s="7">
        <v>68</v>
      </c>
      <c r="G60" s="7" t="s">
        <v>247</v>
      </c>
    </row>
    <row r="61" spans="1:7" x14ac:dyDescent="0.2">
      <c r="A61" s="4" t="s">
        <v>361</v>
      </c>
      <c r="B61" s="7">
        <v>50</v>
      </c>
      <c r="C61" s="7">
        <v>57</v>
      </c>
      <c r="D61" s="7">
        <v>56</v>
      </c>
      <c r="E61" s="7">
        <v>236</v>
      </c>
      <c r="F61" s="7">
        <v>279</v>
      </c>
      <c r="G61" s="7">
        <v>249</v>
      </c>
    </row>
    <row r="62" spans="1:7" x14ac:dyDescent="0.2">
      <c r="A62" s="4" t="s">
        <v>362</v>
      </c>
      <c r="B62" s="7">
        <v>282</v>
      </c>
      <c r="C62" s="7">
        <v>382</v>
      </c>
      <c r="D62" s="7">
        <v>387</v>
      </c>
      <c r="E62" s="7">
        <v>265</v>
      </c>
      <c r="F62" s="7">
        <v>315</v>
      </c>
      <c r="G62" s="7">
        <v>733</v>
      </c>
    </row>
    <row r="63" spans="1:7" x14ac:dyDescent="0.2">
      <c r="A63" s="6" t="s">
        <v>102</v>
      </c>
      <c r="B63" s="15">
        <v>6667</v>
      </c>
      <c r="C63" s="15">
        <v>6259</v>
      </c>
      <c r="D63" s="15">
        <v>6183</v>
      </c>
      <c r="E63" s="15">
        <v>7520</v>
      </c>
      <c r="F63" s="15">
        <v>10175</v>
      </c>
      <c r="G63" s="15">
        <v>10227</v>
      </c>
    </row>
    <row r="64" spans="1:7" x14ac:dyDescent="0.2">
      <c r="A64" s="4"/>
      <c r="B64" s="4"/>
      <c r="C64" s="4"/>
      <c r="D64" s="4"/>
      <c r="E64" s="4"/>
      <c r="F64" s="4"/>
      <c r="G64" s="4"/>
    </row>
    <row r="65" spans="1:7" x14ac:dyDescent="0.2">
      <c r="A65" s="4" t="s">
        <v>363</v>
      </c>
      <c r="B65" s="7">
        <v>153</v>
      </c>
      <c r="C65" s="7">
        <v>153</v>
      </c>
      <c r="D65" s="7">
        <v>153</v>
      </c>
      <c r="E65" s="7">
        <v>153</v>
      </c>
      <c r="F65" s="7">
        <v>153</v>
      </c>
      <c r="G65" s="7">
        <v>153</v>
      </c>
    </row>
    <row r="66" spans="1:7" x14ac:dyDescent="0.2">
      <c r="A66" s="4" t="s">
        <v>364</v>
      </c>
      <c r="B66" s="7">
        <v>486</v>
      </c>
      <c r="C66" s="7">
        <v>485</v>
      </c>
      <c r="D66" s="7">
        <v>484</v>
      </c>
      <c r="E66" s="7">
        <v>482</v>
      </c>
      <c r="F66" s="7">
        <v>480</v>
      </c>
      <c r="G66" s="7">
        <v>478</v>
      </c>
    </row>
    <row r="67" spans="1:7" x14ac:dyDescent="0.2">
      <c r="A67" s="4" t="s">
        <v>365</v>
      </c>
      <c r="B67" s="7">
        <v>3528</v>
      </c>
      <c r="C67" s="7">
        <v>3231</v>
      </c>
      <c r="D67" s="7">
        <v>3052</v>
      </c>
      <c r="E67" s="7">
        <v>2541</v>
      </c>
      <c r="F67" s="7">
        <v>2387</v>
      </c>
      <c r="G67" s="7">
        <v>2127</v>
      </c>
    </row>
    <row r="68" spans="1:7" x14ac:dyDescent="0.2">
      <c r="A68" s="4" t="s">
        <v>366</v>
      </c>
      <c r="B68" s="7">
        <v>-143</v>
      </c>
      <c r="C68" s="7">
        <v>-123</v>
      </c>
      <c r="D68" s="7">
        <v>-106</v>
      </c>
      <c r="E68" s="7">
        <v>-81</v>
      </c>
      <c r="F68" s="7">
        <v>-51</v>
      </c>
      <c r="G68" s="7">
        <v>-32</v>
      </c>
    </row>
    <row r="69" spans="1:7" x14ac:dyDescent="0.2">
      <c r="A69" s="4" t="s">
        <v>367</v>
      </c>
      <c r="B69" s="7">
        <v>-547</v>
      </c>
      <c r="C69" s="7">
        <v>-579</v>
      </c>
      <c r="D69" s="7">
        <v>-487</v>
      </c>
      <c r="E69" s="7">
        <v>-553</v>
      </c>
      <c r="F69" s="7">
        <v>-559</v>
      </c>
      <c r="G69" s="7">
        <v>-620</v>
      </c>
    </row>
    <row r="70" spans="1:7" x14ac:dyDescent="0.2">
      <c r="A70" s="6" t="s">
        <v>368</v>
      </c>
      <c r="B70" s="15">
        <v>3477</v>
      </c>
      <c r="C70" s="15">
        <v>3167</v>
      </c>
      <c r="D70" s="15">
        <v>3096</v>
      </c>
      <c r="E70" s="15">
        <v>2542</v>
      </c>
      <c r="F70" s="15">
        <v>2410</v>
      </c>
      <c r="G70" s="15">
        <v>2106</v>
      </c>
    </row>
    <row r="71" spans="1:7" x14ac:dyDescent="0.2">
      <c r="A71" s="4"/>
      <c r="B71" s="4"/>
      <c r="C71" s="4"/>
      <c r="D71" s="4"/>
      <c r="E71" s="4"/>
      <c r="F71" s="4"/>
      <c r="G71" s="4"/>
    </row>
    <row r="72" spans="1:7" x14ac:dyDescent="0.2">
      <c r="A72" s="4" t="s">
        <v>104</v>
      </c>
      <c r="B72" s="7">
        <v>251</v>
      </c>
      <c r="C72" s="7">
        <v>201</v>
      </c>
      <c r="D72" s="7">
        <v>185</v>
      </c>
      <c r="E72" s="7">
        <v>251</v>
      </c>
      <c r="F72" s="7">
        <v>271</v>
      </c>
      <c r="G72" s="7">
        <v>219</v>
      </c>
    </row>
    <row r="73" spans="1:7" x14ac:dyDescent="0.2">
      <c r="A73" s="4"/>
      <c r="B73" s="4"/>
      <c r="C73" s="4"/>
      <c r="D73" s="4"/>
      <c r="E73" s="4"/>
      <c r="F73" s="4"/>
      <c r="G73" s="4"/>
    </row>
    <row r="74" spans="1:7" x14ac:dyDescent="0.2">
      <c r="A74" s="6" t="s">
        <v>369</v>
      </c>
      <c r="B74" s="29">
        <v>3728</v>
      </c>
      <c r="C74" s="29">
        <v>3368</v>
      </c>
      <c r="D74" s="29">
        <v>3281</v>
      </c>
      <c r="E74" s="29">
        <v>2793</v>
      </c>
      <c r="F74" s="29">
        <v>2681</v>
      </c>
      <c r="G74" s="29">
        <v>2325</v>
      </c>
    </row>
    <row r="75" spans="1:7" x14ac:dyDescent="0.2">
      <c r="A75" s="4"/>
      <c r="B75" s="4"/>
      <c r="C75" s="4"/>
      <c r="D75" s="4"/>
      <c r="E75" s="4"/>
      <c r="F75" s="4"/>
      <c r="G75" s="4"/>
    </row>
    <row r="76" spans="1:7" x14ac:dyDescent="0.2">
      <c r="A76" s="6" t="s">
        <v>370</v>
      </c>
      <c r="B76" s="28">
        <v>10395</v>
      </c>
      <c r="C76" s="28">
        <v>9627</v>
      </c>
      <c r="D76" s="28">
        <v>9464</v>
      </c>
      <c r="E76" s="28">
        <v>10313</v>
      </c>
      <c r="F76" s="28">
        <v>12856</v>
      </c>
      <c r="G76" s="28">
        <v>12552</v>
      </c>
    </row>
    <row r="77" spans="1:7" x14ac:dyDescent="0.2">
      <c r="A77" s="4"/>
      <c r="B77" s="4"/>
      <c r="C77" s="4"/>
      <c r="D77" s="4"/>
      <c r="E77" s="4"/>
      <c r="F77" s="4"/>
      <c r="G77" s="4"/>
    </row>
    <row r="78" spans="1:7" x14ac:dyDescent="0.2">
      <c r="A78" s="6" t="s">
        <v>295</v>
      </c>
      <c r="B78" s="4"/>
      <c r="C78" s="4"/>
      <c r="D78" s="4"/>
      <c r="E78" s="4"/>
      <c r="F78" s="4"/>
      <c r="G78" s="4"/>
    </row>
    <row r="79" spans="1:7" x14ac:dyDescent="0.2">
      <c r="A79" s="4" t="s">
        <v>371</v>
      </c>
      <c r="B79" s="7">
        <v>100.165217</v>
      </c>
      <c r="C79" s="7">
        <v>100.344217</v>
      </c>
      <c r="D79" s="7">
        <v>100.544217</v>
      </c>
      <c r="E79" s="7">
        <v>100.826217</v>
      </c>
      <c r="F79" s="7">
        <v>101.15821699999999</v>
      </c>
      <c r="G79" s="7">
        <v>101.17609899999999</v>
      </c>
    </row>
    <row r="80" spans="1:7" x14ac:dyDescent="0.2">
      <c r="A80" s="4" t="s">
        <v>372</v>
      </c>
      <c r="B80" s="7">
        <v>100.165217</v>
      </c>
      <c r="C80" s="7">
        <v>100.344217</v>
      </c>
      <c r="D80" s="7">
        <v>100.544217</v>
      </c>
      <c r="E80" s="7">
        <v>100.826217</v>
      </c>
      <c r="F80" s="7">
        <v>101.15821699999999</v>
      </c>
      <c r="G80" s="7">
        <v>101.17609899999999</v>
      </c>
    </row>
    <row r="81" spans="1:7" x14ac:dyDescent="0.2">
      <c r="A81" s="4" t="s">
        <v>373</v>
      </c>
      <c r="B81" s="12">
        <v>34.71</v>
      </c>
      <c r="C81" s="12">
        <v>31.56</v>
      </c>
      <c r="D81" s="12">
        <v>30.79</v>
      </c>
      <c r="E81" s="12">
        <v>25.21</v>
      </c>
      <c r="F81" s="12">
        <v>23.82</v>
      </c>
      <c r="G81" s="12">
        <v>20.82</v>
      </c>
    </row>
    <row r="82" spans="1:7" x14ac:dyDescent="0.2">
      <c r="A82" s="4" t="s">
        <v>374</v>
      </c>
      <c r="B82" s="7">
        <v>2048</v>
      </c>
      <c r="C82" s="7">
        <v>1808</v>
      </c>
      <c r="D82" s="7">
        <v>1831</v>
      </c>
      <c r="E82" s="7">
        <v>196</v>
      </c>
      <c r="F82" s="7">
        <v>-809</v>
      </c>
      <c r="G82" s="7">
        <v>-1371</v>
      </c>
    </row>
    <row r="83" spans="1:7" x14ac:dyDescent="0.2">
      <c r="A83" s="4" t="s">
        <v>375</v>
      </c>
      <c r="B83" s="12">
        <v>20.45</v>
      </c>
      <c r="C83" s="12">
        <v>18.02</v>
      </c>
      <c r="D83" s="12">
        <v>18.21</v>
      </c>
      <c r="E83" s="12">
        <v>1.94</v>
      </c>
      <c r="F83" s="12">
        <v>-8</v>
      </c>
      <c r="G83" s="12">
        <v>-13.55</v>
      </c>
    </row>
    <row r="84" spans="1:7" x14ac:dyDescent="0.2">
      <c r="A84" s="4" t="s">
        <v>376</v>
      </c>
      <c r="B84" s="7">
        <v>4075</v>
      </c>
      <c r="C84" s="7">
        <v>3985</v>
      </c>
      <c r="D84" s="7">
        <v>3841</v>
      </c>
      <c r="E84" s="7">
        <v>4716</v>
      </c>
      <c r="F84" s="7">
        <v>7414</v>
      </c>
      <c r="G84" s="7">
        <v>7226</v>
      </c>
    </row>
    <row r="85" spans="1:7" x14ac:dyDescent="0.2">
      <c r="A85" s="4" t="s">
        <v>377</v>
      </c>
      <c r="B85" s="7">
        <v>3306</v>
      </c>
      <c r="C85" s="7">
        <v>3339</v>
      </c>
      <c r="D85" s="7">
        <v>3222</v>
      </c>
      <c r="E85" s="7">
        <v>4188</v>
      </c>
      <c r="F85" s="7">
        <v>5879</v>
      </c>
      <c r="G85" s="7">
        <v>5803</v>
      </c>
    </row>
    <row r="86" spans="1:7" x14ac:dyDescent="0.2">
      <c r="A86" s="4" t="s">
        <v>378</v>
      </c>
      <c r="B86" s="7">
        <v>1528</v>
      </c>
      <c r="C86" s="7">
        <v>1272</v>
      </c>
      <c r="D86" s="7">
        <v>1208</v>
      </c>
      <c r="E86" s="7">
        <v>1216</v>
      </c>
      <c r="F86" s="7">
        <v>8</v>
      </c>
      <c r="G86" s="7" t="s">
        <v>298</v>
      </c>
    </row>
    <row r="87" spans="1:7" x14ac:dyDescent="0.2">
      <c r="A87" s="4" t="s">
        <v>379</v>
      </c>
      <c r="B87" s="7">
        <v>251</v>
      </c>
      <c r="C87" s="7">
        <v>201</v>
      </c>
      <c r="D87" s="7">
        <v>185</v>
      </c>
      <c r="E87" s="7">
        <v>251</v>
      </c>
      <c r="F87" s="7">
        <v>271</v>
      </c>
      <c r="G87" s="7">
        <v>219</v>
      </c>
    </row>
    <row r="88" spans="1:7" x14ac:dyDescent="0.2">
      <c r="A88" s="4" t="s">
        <v>380</v>
      </c>
      <c r="B88" s="7">
        <v>3596</v>
      </c>
      <c r="C88" s="7">
        <v>3276</v>
      </c>
      <c r="D88" s="7">
        <v>3207</v>
      </c>
      <c r="E88" s="7">
        <v>3036</v>
      </c>
      <c r="F88" s="7">
        <v>2822</v>
      </c>
      <c r="G88" s="7">
        <v>2696</v>
      </c>
    </row>
    <row r="89" spans="1:7" x14ac:dyDescent="0.2">
      <c r="A89" s="4" t="s">
        <v>381</v>
      </c>
      <c r="B89" s="8" t="s">
        <v>382</v>
      </c>
      <c r="C89" s="8" t="s">
        <v>382</v>
      </c>
      <c r="D89" s="8" t="s">
        <v>382</v>
      </c>
      <c r="E89" s="8" t="s">
        <v>382</v>
      </c>
      <c r="F89" s="8" t="s">
        <v>382</v>
      </c>
      <c r="G89" s="8" t="s">
        <v>298</v>
      </c>
    </row>
    <row r="90" spans="1:7" x14ac:dyDescent="0.2">
      <c r="A90" s="4" t="s">
        <v>383</v>
      </c>
      <c r="B90" s="7">
        <v>66</v>
      </c>
      <c r="C90" s="7">
        <v>39</v>
      </c>
      <c r="D90" s="7">
        <v>33</v>
      </c>
      <c r="E90" s="7">
        <v>30</v>
      </c>
      <c r="F90" s="7">
        <v>20</v>
      </c>
      <c r="G90" s="7" t="s">
        <v>298</v>
      </c>
    </row>
    <row r="91" spans="1:7" x14ac:dyDescent="0.2">
      <c r="A91" s="4" t="s">
        <v>384</v>
      </c>
      <c r="B91" s="7">
        <v>14</v>
      </c>
      <c r="C91" s="7">
        <v>23</v>
      </c>
      <c r="D91" s="7">
        <v>12</v>
      </c>
      <c r="E91" s="7">
        <v>9</v>
      </c>
      <c r="F91" s="7">
        <v>12</v>
      </c>
      <c r="G91" s="7" t="s">
        <v>298</v>
      </c>
    </row>
    <row r="92" spans="1:7" x14ac:dyDescent="0.2">
      <c r="A92" s="4" t="s">
        <v>385</v>
      </c>
      <c r="B92" s="7">
        <v>182</v>
      </c>
      <c r="C92" s="7">
        <v>185</v>
      </c>
      <c r="D92" s="7">
        <v>191</v>
      </c>
      <c r="E92" s="7">
        <v>270</v>
      </c>
      <c r="F92" s="7">
        <v>360</v>
      </c>
      <c r="G92" s="7" t="s">
        <v>298</v>
      </c>
    </row>
    <row r="93" spans="1:7" x14ac:dyDescent="0.2">
      <c r="A93" s="4" t="s">
        <v>386</v>
      </c>
      <c r="B93" s="7">
        <v>5692</v>
      </c>
      <c r="C93" s="7">
        <v>6138</v>
      </c>
      <c r="D93" s="7">
        <v>6164</v>
      </c>
      <c r="E93" s="7">
        <v>6663</v>
      </c>
      <c r="F93" s="7">
        <v>6644</v>
      </c>
      <c r="G93" s="7" t="s">
        <v>298</v>
      </c>
    </row>
    <row r="94" spans="1:7" x14ac:dyDescent="0.2">
      <c r="A94" s="4" t="s">
        <v>387</v>
      </c>
      <c r="B94" s="7">
        <v>431</v>
      </c>
      <c r="C94" s="7">
        <v>250</v>
      </c>
      <c r="D94" s="7">
        <v>206</v>
      </c>
      <c r="E94" s="7">
        <v>284</v>
      </c>
      <c r="F94" s="7">
        <v>355</v>
      </c>
      <c r="G94" s="7" t="s">
        <v>247</v>
      </c>
    </row>
    <row r="95" spans="1:7" x14ac:dyDescent="0.2">
      <c r="A95" s="4" t="s">
        <v>388</v>
      </c>
      <c r="B95" s="27">
        <v>16000</v>
      </c>
      <c r="C95" s="27">
        <v>13962</v>
      </c>
      <c r="D95" s="27">
        <v>14548</v>
      </c>
      <c r="E95" s="27">
        <v>21000</v>
      </c>
      <c r="F95" s="27">
        <v>22000</v>
      </c>
      <c r="G95" s="27" t="s">
        <v>298</v>
      </c>
    </row>
    <row r="96" spans="1:7" x14ac:dyDescent="0.2">
      <c r="A96" s="4" t="s">
        <v>389</v>
      </c>
      <c r="B96" s="7">
        <v>201</v>
      </c>
      <c r="C96" s="7">
        <v>206</v>
      </c>
      <c r="D96" s="7">
        <v>211</v>
      </c>
      <c r="E96" s="7">
        <v>249</v>
      </c>
      <c r="F96" s="7">
        <v>265</v>
      </c>
      <c r="G96" s="7" t="s">
        <v>298</v>
      </c>
    </row>
    <row r="97" spans="1:7" x14ac:dyDescent="0.2">
      <c r="A97" s="4" t="s">
        <v>306</v>
      </c>
      <c r="B97" s="9">
        <v>42780</v>
      </c>
      <c r="C97" s="9">
        <v>43524</v>
      </c>
      <c r="D97" s="9">
        <v>43889</v>
      </c>
      <c r="E97" s="9">
        <v>43889</v>
      </c>
      <c r="F97" s="9">
        <v>43889</v>
      </c>
      <c r="G97" s="9">
        <v>44042</v>
      </c>
    </row>
    <row r="98" spans="1:7" x14ac:dyDescent="0.2">
      <c r="A98" s="4" t="s">
        <v>307</v>
      </c>
      <c r="B98" s="8" t="s">
        <v>309</v>
      </c>
      <c r="C98" s="8" t="s">
        <v>390</v>
      </c>
      <c r="D98" s="8" t="s">
        <v>309</v>
      </c>
      <c r="E98" s="8" t="s">
        <v>309</v>
      </c>
      <c r="F98" s="8" t="s">
        <v>310</v>
      </c>
      <c r="G98" s="8" t="s">
        <v>310</v>
      </c>
    </row>
    <row r="99" spans="1:7" x14ac:dyDescent="0.2">
      <c r="A99" s="4" t="s">
        <v>311</v>
      </c>
      <c r="B99" s="8" t="s">
        <v>312</v>
      </c>
      <c r="C99" s="8" t="s">
        <v>391</v>
      </c>
      <c r="D99" s="8" t="s">
        <v>391</v>
      </c>
      <c r="E99" s="8" t="s">
        <v>312</v>
      </c>
      <c r="F99" s="8" t="s">
        <v>312</v>
      </c>
      <c r="G99" s="8" t="s">
        <v>312</v>
      </c>
    </row>
    <row r="100" spans="1:7" x14ac:dyDescent="0.2">
      <c r="A100" s="4"/>
      <c r="B100" s="4"/>
      <c r="C100" s="4"/>
      <c r="D100" s="4"/>
      <c r="E100" s="4"/>
      <c r="F100" s="4"/>
      <c r="G100" s="4"/>
    </row>
    <row r="101" spans="1:7" x14ac:dyDescent="0.2">
      <c r="A101" s="3"/>
      <c r="B101" s="3"/>
      <c r="C101" s="3"/>
      <c r="D101" s="3"/>
      <c r="E101" s="3"/>
      <c r="F101" s="3"/>
      <c r="G101" s="3"/>
    </row>
    <row r="102" spans="1:7" x14ac:dyDescent="0.2">
      <c r="A102" s="1" t="s">
        <v>392</v>
      </c>
    </row>
    <row r="103" spans="1:7" x14ac:dyDescent="0.2">
      <c r="A103" s="2" t="s">
        <v>323</v>
      </c>
    </row>
  </sheetData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4CCF-0F02-4983-9735-7FECBE6DCF28}">
  <sheetPr>
    <tabColor theme="7"/>
    <outlinePr summaryBelow="0" summaryRight="0"/>
    <pageSetUpPr autoPageBreaks="0"/>
  </sheetPr>
  <dimension ref="A5:IU78"/>
  <sheetViews>
    <sheetView showGridLines="0" workbookViewId="0"/>
  </sheetViews>
  <sheetFormatPr defaultColWidth="9" defaultRowHeight="11.25" x14ac:dyDescent="0.2"/>
  <cols>
    <col min="1" max="1" width="40.125" style="1" customWidth="1"/>
    <col min="2" max="7" width="13" style="1" customWidth="1"/>
    <col min="8" max="16384" width="9" style="1"/>
  </cols>
  <sheetData>
    <row r="5" spans="1:255" ht="15.75" x14ac:dyDescent="0.2">
      <c r="A5" s="26" t="s">
        <v>393</v>
      </c>
    </row>
    <row r="7" spans="1:255" x14ac:dyDescent="0.2">
      <c r="A7" s="25" t="s">
        <v>216</v>
      </c>
      <c r="B7" s="23" t="s">
        <v>217</v>
      </c>
      <c r="C7" s="1" t="s">
        <v>218</v>
      </c>
      <c r="D7" s="4" t="s">
        <v>219</v>
      </c>
      <c r="E7" s="23" t="s">
        <v>220</v>
      </c>
      <c r="F7" s="1" t="s">
        <v>221</v>
      </c>
    </row>
    <row r="8" spans="1:255" x14ac:dyDescent="0.2">
      <c r="A8" s="4"/>
      <c r="B8" s="23" t="s">
        <v>222</v>
      </c>
      <c r="C8" s="1" t="s">
        <v>223</v>
      </c>
      <c r="D8" s="4" t="s">
        <v>219</v>
      </c>
      <c r="E8" s="23" t="s">
        <v>224</v>
      </c>
      <c r="F8" s="1" t="s">
        <v>225</v>
      </c>
    </row>
    <row r="9" spans="1:255" x14ac:dyDescent="0.2">
      <c r="A9" s="4"/>
      <c r="B9" s="23" t="s">
        <v>226</v>
      </c>
      <c r="C9" s="1" t="s">
        <v>227</v>
      </c>
      <c r="D9" s="4" t="s">
        <v>219</v>
      </c>
      <c r="E9" s="23" t="s">
        <v>228</v>
      </c>
      <c r="F9" s="1" t="s">
        <v>229</v>
      </c>
    </row>
    <row r="10" spans="1:255" x14ac:dyDescent="0.2">
      <c r="A10" s="4"/>
      <c r="B10" s="23" t="s">
        <v>230</v>
      </c>
      <c r="C10" s="1" t="s">
        <v>231</v>
      </c>
      <c r="D10" s="4" t="s">
        <v>219</v>
      </c>
      <c r="E10" s="23" t="s">
        <v>232</v>
      </c>
      <c r="F10" s="24" t="s">
        <v>233</v>
      </c>
    </row>
    <row r="11" spans="1:255" x14ac:dyDescent="0.2">
      <c r="A11" s="4"/>
      <c r="B11" s="23" t="s">
        <v>234</v>
      </c>
      <c r="C11" s="1" t="s">
        <v>235</v>
      </c>
      <c r="D11" s="4" t="s">
        <v>219</v>
      </c>
      <c r="E11" s="22"/>
      <c r="F11" s="22"/>
    </row>
    <row r="14" spans="1:255" x14ac:dyDescent="0.2">
      <c r="A14" s="21" t="s">
        <v>394</v>
      </c>
      <c r="B14" s="21"/>
      <c r="C14" s="21"/>
      <c r="D14" s="21"/>
      <c r="E14" s="21"/>
      <c r="F14" s="21"/>
      <c r="G14" s="21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</row>
    <row r="15" spans="1:255" ht="33.75" x14ac:dyDescent="0.2">
      <c r="A15" s="19" t="s">
        <v>236</v>
      </c>
      <c r="B15" s="18" t="s">
        <v>237</v>
      </c>
      <c r="C15" s="18" t="s">
        <v>238</v>
      </c>
      <c r="D15" s="18" t="s">
        <v>239</v>
      </c>
      <c r="E15" s="18" t="s">
        <v>240</v>
      </c>
      <c r="F15" s="18" t="s">
        <v>241</v>
      </c>
      <c r="G15" s="18" t="s">
        <v>242</v>
      </c>
    </row>
    <row r="16" spans="1:255" x14ac:dyDescent="0.2">
      <c r="A16" s="17" t="s">
        <v>243</v>
      </c>
      <c r="B16" s="16" t="s">
        <v>244</v>
      </c>
      <c r="C16" s="16" t="s">
        <v>244</v>
      </c>
      <c r="D16" s="16" t="s">
        <v>244</v>
      </c>
      <c r="E16" s="16" t="s">
        <v>244</v>
      </c>
      <c r="F16" s="16" t="s">
        <v>244</v>
      </c>
      <c r="G16" s="16" t="s">
        <v>244</v>
      </c>
    </row>
    <row r="17" spans="1:7" x14ac:dyDescent="0.2">
      <c r="A17" s="6" t="s">
        <v>245</v>
      </c>
      <c r="B17" s="4"/>
      <c r="C17" s="4"/>
      <c r="D17" s="4"/>
      <c r="E17" s="4"/>
      <c r="F17" s="4"/>
      <c r="G17" s="4"/>
    </row>
    <row r="18" spans="1:7" x14ac:dyDescent="0.2">
      <c r="A18" s="6" t="s">
        <v>162</v>
      </c>
      <c r="B18" s="5">
        <v>-559</v>
      </c>
      <c r="C18" s="5">
        <v>-32</v>
      </c>
      <c r="D18" s="5">
        <v>87</v>
      </c>
      <c r="E18" s="5">
        <v>-10</v>
      </c>
      <c r="F18" s="5">
        <v>149</v>
      </c>
      <c r="G18" s="5">
        <v>-147</v>
      </c>
    </row>
    <row r="19" spans="1:7" x14ac:dyDescent="0.2">
      <c r="A19" s="4" t="s">
        <v>253</v>
      </c>
      <c r="B19" s="7">
        <v>1035</v>
      </c>
      <c r="C19" s="7">
        <v>678</v>
      </c>
      <c r="D19" s="7">
        <v>670</v>
      </c>
      <c r="E19" s="7">
        <v>663</v>
      </c>
      <c r="F19" s="7">
        <v>825</v>
      </c>
      <c r="G19" s="7">
        <v>858</v>
      </c>
    </row>
    <row r="20" spans="1:7" x14ac:dyDescent="0.2">
      <c r="A20" s="4" t="s">
        <v>254</v>
      </c>
      <c r="B20" s="7">
        <v>246</v>
      </c>
      <c r="C20" s="7">
        <v>175</v>
      </c>
      <c r="D20" s="7">
        <v>142</v>
      </c>
      <c r="E20" s="7">
        <v>140</v>
      </c>
      <c r="F20" s="7">
        <v>275</v>
      </c>
      <c r="G20" s="7">
        <v>302</v>
      </c>
    </row>
    <row r="21" spans="1:7" x14ac:dyDescent="0.2">
      <c r="A21" s="6" t="s">
        <v>395</v>
      </c>
      <c r="B21" s="15">
        <v>1281</v>
      </c>
      <c r="C21" s="15">
        <v>853</v>
      </c>
      <c r="D21" s="15">
        <v>812</v>
      </c>
      <c r="E21" s="15">
        <v>803</v>
      </c>
      <c r="F21" s="15">
        <v>1100</v>
      </c>
      <c r="G21" s="15">
        <v>1160</v>
      </c>
    </row>
    <row r="22" spans="1:7" x14ac:dyDescent="0.2">
      <c r="A22" s="4"/>
      <c r="B22" s="4"/>
      <c r="C22" s="4"/>
      <c r="D22" s="4"/>
      <c r="E22" s="4"/>
      <c r="F22" s="4"/>
      <c r="G22" s="4"/>
    </row>
    <row r="23" spans="1:7" x14ac:dyDescent="0.2">
      <c r="A23" s="4" t="s">
        <v>396</v>
      </c>
      <c r="B23" s="7">
        <v>403</v>
      </c>
      <c r="C23" s="7">
        <v>13</v>
      </c>
      <c r="D23" s="7">
        <v>-111</v>
      </c>
      <c r="E23" s="7">
        <v>-43</v>
      </c>
      <c r="F23" s="7">
        <v>-48</v>
      </c>
      <c r="G23" s="7">
        <v>-62</v>
      </c>
    </row>
    <row r="24" spans="1:7" x14ac:dyDescent="0.2">
      <c r="A24" s="4" t="s">
        <v>397</v>
      </c>
      <c r="B24" s="7">
        <v>-147</v>
      </c>
      <c r="C24" s="7">
        <v>-43</v>
      </c>
      <c r="D24" s="7" t="s">
        <v>247</v>
      </c>
      <c r="E24" s="7" t="s">
        <v>247</v>
      </c>
      <c r="F24" s="7">
        <v>-274</v>
      </c>
      <c r="G24" s="7">
        <v>-154</v>
      </c>
    </row>
    <row r="25" spans="1:7" x14ac:dyDescent="0.2">
      <c r="A25" s="4" t="s">
        <v>398</v>
      </c>
      <c r="B25" s="7">
        <v>54</v>
      </c>
      <c r="C25" s="7">
        <v>6</v>
      </c>
      <c r="D25" s="7">
        <v>12</v>
      </c>
      <c r="E25" s="7">
        <v>6</v>
      </c>
      <c r="F25" s="7">
        <v>8</v>
      </c>
      <c r="G25" s="7">
        <v>16</v>
      </c>
    </row>
    <row r="26" spans="1:7" x14ac:dyDescent="0.2">
      <c r="A26" s="4" t="s">
        <v>399</v>
      </c>
      <c r="B26" s="7">
        <v>47</v>
      </c>
      <c r="C26" s="7">
        <v>-23</v>
      </c>
      <c r="D26" s="7">
        <v>-55</v>
      </c>
      <c r="E26" s="7">
        <v>-18</v>
      </c>
      <c r="F26" s="7">
        <v>-139</v>
      </c>
      <c r="G26" s="7">
        <v>-142</v>
      </c>
    </row>
    <row r="27" spans="1:7" x14ac:dyDescent="0.2">
      <c r="A27" s="4" t="s">
        <v>400</v>
      </c>
      <c r="B27" s="7">
        <v>19</v>
      </c>
      <c r="C27" s="7">
        <v>14</v>
      </c>
      <c r="D27" s="7">
        <v>22</v>
      </c>
      <c r="E27" s="7">
        <v>22</v>
      </c>
      <c r="F27" s="7">
        <v>30</v>
      </c>
      <c r="G27" s="7">
        <v>30</v>
      </c>
    </row>
    <row r="28" spans="1:7" x14ac:dyDescent="0.2">
      <c r="A28" s="4" t="s">
        <v>401</v>
      </c>
      <c r="B28" s="7">
        <v>-30</v>
      </c>
      <c r="C28" s="7">
        <v>53</v>
      </c>
      <c r="D28" s="7">
        <v>122</v>
      </c>
      <c r="E28" s="7">
        <v>-2</v>
      </c>
      <c r="F28" s="7">
        <v>70</v>
      </c>
      <c r="G28" s="7">
        <v>66</v>
      </c>
    </row>
    <row r="29" spans="1:7" x14ac:dyDescent="0.2">
      <c r="A29" s="4" t="s">
        <v>402</v>
      </c>
      <c r="B29" s="7">
        <v>521</v>
      </c>
      <c r="C29" s="7">
        <v>25</v>
      </c>
      <c r="D29" s="7">
        <v>-8</v>
      </c>
      <c r="E29" s="7">
        <v>100</v>
      </c>
      <c r="F29" s="7">
        <v>76</v>
      </c>
      <c r="G29" s="7">
        <v>181</v>
      </c>
    </row>
    <row r="30" spans="1:7" x14ac:dyDescent="0.2">
      <c r="A30" s="4" t="s">
        <v>403</v>
      </c>
      <c r="B30" s="7">
        <v>162</v>
      </c>
      <c r="C30" s="7">
        <v>102</v>
      </c>
      <c r="D30" s="7">
        <v>5</v>
      </c>
      <c r="E30" s="7">
        <v>-137</v>
      </c>
      <c r="F30" s="7">
        <v>-121</v>
      </c>
      <c r="G30" s="7">
        <v>-83</v>
      </c>
    </row>
    <row r="31" spans="1:7" x14ac:dyDescent="0.2">
      <c r="A31" s="4" t="s">
        <v>404</v>
      </c>
      <c r="B31" s="7">
        <v>17</v>
      </c>
      <c r="C31" s="7">
        <v>19</v>
      </c>
      <c r="D31" s="7">
        <v>16</v>
      </c>
      <c r="E31" s="7">
        <v>2</v>
      </c>
      <c r="F31" s="7">
        <v>11</v>
      </c>
      <c r="G31" s="7">
        <v>13</v>
      </c>
    </row>
    <row r="32" spans="1:7" x14ac:dyDescent="0.2">
      <c r="A32" s="4" t="s">
        <v>405</v>
      </c>
      <c r="B32" s="7">
        <v>-117</v>
      </c>
      <c r="C32" s="7">
        <v>-109</v>
      </c>
      <c r="D32" s="7">
        <v>-82</v>
      </c>
      <c r="E32" s="7">
        <v>69</v>
      </c>
      <c r="F32" s="7">
        <v>-61</v>
      </c>
      <c r="G32" s="7">
        <v>-76</v>
      </c>
    </row>
    <row r="33" spans="1:7" x14ac:dyDescent="0.2">
      <c r="A33" s="4" t="s">
        <v>406</v>
      </c>
      <c r="B33" s="7" t="s">
        <v>247</v>
      </c>
      <c r="C33" s="7" t="s">
        <v>247</v>
      </c>
      <c r="D33" s="7" t="s">
        <v>247</v>
      </c>
      <c r="E33" s="7" t="s">
        <v>247</v>
      </c>
      <c r="F33" s="7" t="s">
        <v>247</v>
      </c>
      <c r="G33" s="7" t="s">
        <v>247</v>
      </c>
    </row>
    <row r="34" spans="1:7" x14ac:dyDescent="0.2">
      <c r="A34" s="6" t="s">
        <v>407</v>
      </c>
      <c r="B34" s="15">
        <v>1651</v>
      </c>
      <c r="C34" s="15">
        <v>878</v>
      </c>
      <c r="D34" s="15">
        <v>820</v>
      </c>
      <c r="E34" s="15">
        <v>792</v>
      </c>
      <c r="F34" s="15">
        <v>801</v>
      </c>
      <c r="G34" s="15">
        <v>802</v>
      </c>
    </row>
    <row r="35" spans="1:7" x14ac:dyDescent="0.2">
      <c r="A35" s="4"/>
      <c r="B35" s="4"/>
      <c r="C35" s="4"/>
      <c r="D35" s="4"/>
      <c r="E35" s="4"/>
      <c r="F35" s="4"/>
      <c r="G35" s="4"/>
    </row>
    <row r="36" spans="1:7" x14ac:dyDescent="0.2">
      <c r="A36" s="4" t="s">
        <v>408</v>
      </c>
      <c r="B36" s="7">
        <v>-1019</v>
      </c>
      <c r="C36" s="7">
        <v>-719</v>
      </c>
      <c r="D36" s="7">
        <v>-650</v>
      </c>
      <c r="E36" s="7">
        <v>-632</v>
      </c>
      <c r="F36" s="7">
        <v>-736</v>
      </c>
      <c r="G36" s="7">
        <v>-689</v>
      </c>
    </row>
    <row r="37" spans="1:7" x14ac:dyDescent="0.2">
      <c r="A37" s="4" t="s">
        <v>409</v>
      </c>
      <c r="B37" s="7">
        <v>5</v>
      </c>
      <c r="C37" s="7">
        <v>6</v>
      </c>
      <c r="D37" s="7">
        <v>179</v>
      </c>
      <c r="E37" s="7">
        <v>154</v>
      </c>
      <c r="F37" s="7">
        <v>24</v>
      </c>
      <c r="G37" s="7">
        <v>13</v>
      </c>
    </row>
    <row r="38" spans="1:7" x14ac:dyDescent="0.2">
      <c r="A38" s="4" t="s">
        <v>410</v>
      </c>
      <c r="B38" s="7">
        <v>-54</v>
      </c>
      <c r="C38" s="7" t="s">
        <v>247</v>
      </c>
      <c r="D38" s="7">
        <v>-22</v>
      </c>
      <c r="E38" s="7">
        <v>-953</v>
      </c>
      <c r="F38" s="7">
        <v>-1014</v>
      </c>
      <c r="G38" s="7">
        <v>-581</v>
      </c>
    </row>
    <row r="39" spans="1:7" x14ac:dyDescent="0.2">
      <c r="A39" s="4" t="s">
        <v>411</v>
      </c>
      <c r="B39" s="7">
        <v>-164</v>
      </c>
      <c r="C39" s="7" t="s">
        <v>247</v>
      </c>
      <c r="D39" s="7">
        <v>22</v>
      </c>
      <c r="E39" s="7" t="s">
        <v>247</v>
      </c>
      <c r="F39" s="7" t="s">
        <v>247</v>
      </c>
      <c r="G39" s="7" t="s">
        <v>247</v>
      </c>
    </row>
    <row r="40" spans="1:7" x14ac:dyDescent="0.2">
      <c r="A40" s="4" t="s">
        <v>412</v>
      </c>
      <c r="B40" s="7">
        <v>-182</v>
      </c>
      <c r="C40" s="7">
        <v>-137</v>
      </c>
      <c r="D40" s="7">
        <v>-129</v>
      </c>
      <c r="E40" s="7">
        <v>-148</v>
      </c>
      <c r="F40" s="7">
        <v>-171</v>
      </c>
      <c r="G40" s="7">
        <v>-234</v>
      </c>
    </row>
    <row r="41" spans="1:7" x14ac:dyDescent="0.2">
      <c r="A41" s="4" t="s">
        <v>413</v>
      </c>
      <c r="B41" s="7" t="s">
        <v>247</v>
      </c>
      <c r="C41" s="7" t="s">
        <v>247</v>
      </c>
      <c r="D41" s="7" t="s">
        <v>247</v>
      </c>
      <c r="E41" s="7" t="s">
        <v>247</v>
      </c>
      <c r="F41" s="7">
        <v>25</v>
      </c>
      <c r="G41" s="7">
        <v>114</v>
      </c>
    </row>
    <row r="42" spans="1:7" x14ac:dyDescent="0.2">
      <c r="A42" s="4" t="s">
        <v>414</v>
      </c>
      <c r="B42" s="7" t="s">
        <v>247</v>
      </c>
      <c r="C42" s="7" t="s">
        <v>247</v>
      </c>
      <c r="D42" s="7" t="s">
        <v>247</v>
      </c>
      <c r="E42" s="7" t="s">
        <v>247</v>
      </c>
      <c r="F42" s="7" t="s">
        <v>247</v>
      </c>
      <c r="G42" s="7" t="s">
        <v>247</v>
      </c>
    </row>
    <row r="43" spans="1:7" x14ac:dyDescent="0.2">
      <c r="A43" s="4" t="s">
        <v>415</v>
      </c>
      <c r="B43" s="7">
        <v>3</v>
      </c>
      <c r="C43" s="7">
        <v>298</v>
      </c>
      <c r="D43" s="7">
        <v>233</v>
      </c>
      <c r="E43" s="7">
        <v>380</v>
      </c>
      <c r="F43" s="7">
        <v>370</v>
      </c>
      <c r="G43" s="7">
        <v>237</v>
      </c>
    </row>
    <row r="44" spans="1:7" x14ac:dyDescent="0.2">
      <c r="A44" s="6" t="s">
        <v>416</v>
      </c>
      <c r="B44" s="15">
        <v>-1411</v>
      </c>
      <c r="C44" s="15">
        <v>-552</v>
      </c>
      <c r="D44" s="15">
        <v>-367</v>
      </c>
      <c r="E44" s="15">
        <v>-1199</v>
      </c>
      <c r="F44" s="15">
        <v>-1502</v>
      </c>
      <c r="G44" s="15">
        <v>-1140</v>
      </c>
    </row>
    <row r="45" spans="1:7" x14ac:dyDescent="0.2">
      <c r="A45" s="4"/>
      <c r="B45" s="4"/>
      <c r="C45" s="4"/>
      <c r="D45" s="4"/>
      <c r="E45" s="4"/>
      <c r="F45" s="4"/>
      <c r="G45" s="4"/>
    </row>
    <row r="46" spans="1:7" x14ac:dyDescent="0.2">
      <c r="A46" s="4" t="s">
        <v>417</v>
      </c>
      <c r="B46" s="7" t="s">
        <v>247</v>
      </c>
      <c r="C46" s="7" t="s">
        <v>247</v>
      </c>
      <c r="D46" s="7" t="s">
        <v>247</v>
      </c>
      <c r="E46" s="7" t="s">
        <v>247</v>
      </c>
      <c r="F46" s="7" t="s">
        <v>247</v>
      </c>
      <c r="G46" s="7" t="s">
        <v>247</v>
      </c>
    </row>
    <row r="47" spans="1:7" x14ac:dyDescent="0.2">
      <c r="A47" s="4" t="s">
        <v>418</v>
      </c>
      <c r="B47" s="7">
        <v>1880</v>
      </c>
      <c r="C47" s="7">
        <v>713</v>
      </c>
      <c r="D47" s="7">
        <v>996</v>
      </c>
      <c r="E47" s="7">
        <v>1155</v>
      </c>
      <c r="F47" s="7">
        <v>2900</v>
      </c>
      <c r="G47" s="7" t="s">
        <v>247</v>
      </c>
    </row>
    <row r="48" spans="1:7" x14ac:dyDescent="0.2">
      <c r="A48" s="6" t="s">
        <v>419</v>
      </c>
      <c r="B48" s="15">
        <v>1880</v>
      </c>
      <c r="C48" s="15">
        <v>713</v>
      </c>
      <c r="D48" s="15">
        <v>996</v>
      </c>
      <c r="E48" s="15">
        <v>1155</v>
      </c>
      <c r="F48" s="15">
        <v>2900</v>
      </c>
      <c r="G48" s="15">
        <v>2051</v>
      </c>
    </row>
    <row r="49" spans="1:7" x14ac:dyDescent="0.2">
      <c r="A49" s="4" t="s">
        <v>420</v>
      </c>
      <c r="B49" s="7" t="s">
        <v>247</v>
      </c>
      <c r="C49" s="7" t="s">
        <v>247</v>
      </c>
      <c r="D49" s="7" t="s">
        <v>247</v>
      </c>
      <c r="E49" s="7" t="s">
        <v>247</v>
      </c>
      <c r="F49" s="7" t="s">
        <v>247</v>
      </c>
      <c r="G49" s="7" t="s">
        <v>247</v>
      </c>
    </row>
    <row r="50" spans="1:7" x14ac:dyDescent="0.2">
      <c r="A50" s="4" t="s">
        <v>421</v>
      </c>
      <c r="B50" s="7">
        <v>-1392</v>
      </c>
      <c r="C50" s="7">
        <v>-821</v>
      </c>
      <c r="D50" s="7">
        <v>-1195</v>
      </c>
      <c r="E50" s="7">
        <v>-547</v>
      </c>
      <c r="F50" s="7">
        <v>-1264</v>
      </c>
      <c r="G50" s="7" t="s">
        <v>247</v>
      </c>
    </row>
    <row r="51" spans="1:7" x14ac:dyDescent="0.2">
      <c r="A51" s="6" t="s">
        <v>422</v>
      </c>
      <c r="B51" s="15">
        <v>-1392</v>
      </c>
      <c r="C51" s="15">
        <v>-821</v>
      </c>
      <c r="D51" s="15">
        <v>-1195</v>
      </c>
      <c r="E51" s="15">
        <v>-547</v>
      </c>
      <c r="F51" s="15">
        <v>-1264</v>
      </c>
      <c r="G51" s="15">
        <v>-1185</v>
      </c>
    </row>
    <row r="52" spans="1:7" x14ac:dyDescent="0.2">
      <c r="A52" s="4"/>
      <c r="B52" s="4"/>
      <c r="C52" s="4"/>
      <c r="D52" s="4"/>
      <c r="E52" s="4"/>
      <c r="F52" s="4"/>
      <c r="G52" s="4"/>
    </row>
    <row r="53" spans="1:7" x14ac:dyDescent="0.2">
      <c r="A53" s="4" t="s">
        <v>423</v>
      </c>
      <c r="B53" s="7" t="s">
        <v>247</v>
      </c>
      <c r="C53" s="7" t="s">
        <v>247</v>
      </c>
      <c r="D53" s="7" t="s">
        <v>247</v>
      </c>
      <c r="E53" s="7" t="s">
        <v>247</v>
      </c>
      <c r="F53" s="7" t="s">
        <v>247</v>
      </c>
      <c r="G53" s="7">
        <v>-10</v>
      </c>
    </row>
    <row r="54" spans="1:7" x14ac:dyDescent="0.2">
      <c r="A54" s="4"/>
      <c r="B54" s="4"/>
      <c r="C54" s="4"/>
      <c r="D54" s="4"/>
      <c r="E54" s="4"/>
      <c r="F54" s="4"/>
      <c r="G54" s="4"/>
    </row>
    <row r="55" spans="1:7" x14ac:dyDescent="0.2">
      <c r="A55" s="4" t="s">
        <v>424</v>
      </c>
      <c r="B55" s="7">
        <v>-264</v>
      </c>
      <c r="C55" s="7">
        <v>-265</v>
      </c>
      <c r="D55" s="7">
        <v>-265</v>
      </c>
      <c r="E55" s="7">
        <v>-266</v>
      </c>
      <c r="F55" s="7">
        <v>-268</v>
      </c>
      <c r="G55" s="7">
        <v>-135</v>
      </c>
    </row>
    <row r="56" spans="1:7" x14ac:dyDescent="0.2">
      <c r="A56" s="6" t="s">
        <v>425</v>
      </c>
      <c r="B56" s="15">
        <v>-264</v>
      </c>
      <c r="C56" s="15">
        <v>-265</v>
      </c>
      <c r="D56" s="15">
        <v>-265</v>
      </c>
      <c r="E56" s="15">
        <v>-266</v>
      </c>
      <c r="F56" s="15">
        <v>-268</v>
      </c>
      <c r="G56" s="15">
        <v>-135</v>
      </c>
    </row>
    <row r="57" spans="1:7" x14ac:dyDescent="0.2">
      <c r="A57" s="4"/>
      <c r="B57" s="4"/>
      <c r="C57" s="4"/>
      <c r="D57" s="4"/>
      <c r="E57" s="4"/>
      <c r="F57" s="4"/>
      <c r="G57" s="4"/>
    </row>
    <row r="58" spans="1:7" x14ac:dyDescent="0.2">
      <c r="A58" s="4" t="s">
        <v>426</v>
      </c>
      <c r="B58" s="7" t="s">
        <v>247</v>
      </c>
      <c r="C58" s="7" t="s">
        <v>247</v>
      </c>
      <c r="D58" s="7" t="s">
        <v>247</v>
      </c>
      <c r="E58" s="7" t="s">
        <v>247</v>
      </c>
      <c r="F58" s="7" t="s">
        <v>247</v>
      </c>
      <c r="G58" s="7" t="s">
        <v>247</v>
      </c>
    </row>
    <row r="59" spans="1:7" x14ac:dyDescent="0.2">
      <c r="A59" s="4" t="s">
        <v>427</v>
      </c>
      <c r="B59" s="7">
        <v>-308</v>
      </c>
      <c r="C59" s="7">
        <v>-68</v>
      </c>
      <c r="D59" s="7" t="s">
        <v>247</v>
      </c>
      <c r="E59" s="7">
        <v>-1</v>
      </c>
      <c r="F59" s="7">
        <v>-13</v>
      </c>
      <c r="G59" s="7">
        <v>-3</v>
      </c>
    </row>
    <row r="60" spans="1:7" x14ac:dyDescent="0.2">
      <c r="A60" s="6" t="s">
        <v>428</v>
      </c>
      <c r="B60" s="15">
        <v>-84</v>
      </c>
      <c r="C60" s="15">
        <v>-441</v>
      </c>
      <c r="D60" s="15">
        <v>-464</v>
      </c>
      <c r="E60" s="15">
        <v>341</v>
      </c>
      <c r="F60" s="15">
        <v>1355</v>
      </c>
      <c r="G60" s="15">
        <v>718</v>
      </c>
    </row>
    <row r="61" spans="1:7" x14ac:dyDescent="0.2">
      <c r="A61" s="4"/>
      <c r="B61" s="4"/>
      <c r="C61" s="4"/>
      <c r="D61" s="4"/>
      <c r="E61" s="4"/>
      <c r="F61" s="4"/>
      <c r="G61" s="4"/>
    </row>
    <row r="62" spans="1:7" x14ac:dyDescent="0.2">
      <c r="A62" s="4" t="s">
        <v>429</v>
      </c>
      <c r="B62" s="7">
        <v>-81</v>
      </c>
      <c r="C62" s="7">
        <v>-8</v>
      </c>
      <c r="D62" s="7">
        <v>4</v>
      </c>
      <c r="E62" s="7">
        <v>-33</v>
      </c>
      <c r="F62" s="7">
        <v>-8</v>
      </c>
      <c r="G62" s="7">
        <v>-34</v>
      </c>
    </row>
    <row r="63" spans="1:7" x14ac:dyDescent="0.2">
      <c r="A63" s="4" t="s">
        <v>430</v>
      </c>
      <c r="B63" s="7" t="s">
        <v>247</v>
      </c>
      <c r="C63" s="7" t="s">
        <v>247</v>
      </c>
      <c r="D63" s="7">
        <v>-20</v>
      </c>
      <c r="E63" s="7">
        <v>7</v>
      </c>
      <c r="F63" s="7">
        <v>-10</v>
      </c>
      <c r="G63" s="7">
        <v>0</v>
      </c>
    </row>
    <row r="64" spans="1:7" x14ac:dyDescent="0.2">
      <c r="A64" s="6" t="s">
        <v>431</v>
      </c>
      <c r="B64" s="14">
        <v>75</v>
      </c>
      <c r="C64" s="14">
        <v>-123</v>
      </c>
      <c r="D64" s="14">
        <v>-27</v>
      </c>
      <c r="E64" s="14">
        <v>-92</v>
      </c>
      <c r="F64" s="14">
        <v>636</v>
      </c>
      <c r="G64" s="14">
        <v>346</v>
      </c>
    </row>
    <row r="65" spans="1:7" x14ac:dyDescent="0.2">
      <c r="A65" s="4"/>
      <c r="B65" s="4"/>
      <c r="C65" s="4"/>
      <c r="D65" s="4"/>
      <c r="E65" s="4"/>
      <c r="F65" s="4"/>
      <c r="G65" s="4"/>
    </row>
    <row r="66" spans="1:7" x14ac:dyDescent="0.2">
      <c r="A66" s="6" t="s">
        <v>295</v>
      </c>
      <c r="B66" s="4"/>
      <c r="C66" s="4"/>
      <c r="D66" s="4"/>
      <c r="E66" s="4"/>
      <c r="F66" s="4"/>
      <c r="G66" s="4"/>
    </row>
    <row r="67" spans="1:7" x14ac:dyDescent="0.2">
      <c r="A67" s="4" t="s">
        <v>432</v>
      </c>
      <c r="B67" s="7">
        <v>377</v>
      </c>
      <c r="C67" s="7">
        <v>357</v>
      </c>
      <c r="D67" s="7">
        <v>372</v>
      </c>
      <c r="E67" s="7">
        <v>318</v>
      </c>
      <c r="F67" s="7">
        <v>485</v>
      </c>
      <c r="G67" s="7">
        <v>536</v>
      </c>
    </row>
    <row r="68" spans="1:7" x14ac:dyDescent="0.2">
      <c r="A68" s="4" t="s">
        <v>433</v>
      </c>
      <c r="B68" s="7">
        <v>252</v>
      </c>
      <c r="C68" s="7">
        <v>130</v>
      </c>
      <c r="D68" s="7">
        <v>132</v>
      </c>
      <c r="E68" s="7">
        <v>153</v>
      </c>
      <c r="F68" s="7">
        <v>114</v>
      </c>
      <c r="G68" s="7">
        <v>108</v>
      </c>
    </row>
    <row r="69" spans="1:7" x14ac:dyDescent="0.2">
      <c r="A69" s="4" t="s">
        <v>434</v>
      </c>
      <c r="B69" s="7">
        <v>-944.4</v>
      </c>
      <c r="C69" s="7">
        <v>-266.3</v>
      </c>
      <c r="D69" s="7">
        <v>-31.8</v>
      </c>
      <c r="E69" s="7">
        <v>728.125</v>
      </c>
      <c r="F69" s="7">
        <v>-42.6</v>
      </c>
      <c r="G69" s="7">
        <v>-89.6</v>
      </c>
    </row>
    <row r="70" spans="1:7" x14ac:dyDescent="0.2">
      <c r="A70" s="4" t="s">
        <v>435</v>
      </c>
      <c r="B70" s="7">
        <v>-678.8</v>
      </c>
      <c r="C70" s="7">
        <v>-72.5</v>
      </c>
      <c r="D70" s="7">
        <v>162.625</v>
      </c>
      <c r="E70" s="7">
        <v>931.25</v>
      </c>
      <c r="F70" s="7">
        <v>273</v>
      </c>
      <c r="G70" s="7">
        <v>244.125</v>
      </c>
    </row>
    <row r="71" spans="1:7" x14ac:dyDescent="0.2">
      <c r="A71" s="4" t="s">
        <v>436</v>
      </c>
      <c r="B71" s="7">
        <v>1339</v>
      </c>
      <c r="C71" s="7">
        <v>326</v>
      </c>
      <c r="D71" s="7">
        <v>168</v>
      </c>
      <c r="E71" s="7">
        <v>-590</v>
      </c>
      <c r="F71" s="7">
        <v>230</v>
      </c>
      <c r="G71" s="7">
        <v>261</v>
      </c>
    </row>
    <row r="72" spans="1:7" x14ac:dyDescent="0.2">
      <c r="A72" s="4" t="s">
        <v>437</v>
      </c>
      <c r="B72" s="7">
        <v>488</v>
      </c>
      <c r="C72" s="7">
        <v>-108</v>
      </c>
      <c r="D72" s="7">
        <v>-199</v>
      </c>
      <c r="E72" s="7">
        <v>608</v>
      </c>
      <c r="F72" s="7">
        <v>1636</v>
      </c>
      <c r="G72" s="7">
        <v>866</v>
      </c>
    </row>
    <row r="73" spans="1:7" x14ac:dyDescent="0.2">
      <c r="A73" s="4" t="s">
        <v>438</v>
      </c>
      <c r="B73" s="7" t="s">
        <v>247</v>
      </c>
      <c r="C73" s="7">
        <v>147</v>
      </c>
      <c r="D73" s="7" t="s">
        <v>247</v>
      </c>
      <c r="E73" s="7">
        <v>176</v>
      </c>
      <c r="F73" s="7">
        <v>111</v>
      </c>
      <c r="G73" s="7">
        <v>19</v>
      </c>
    </row>
    <row r="74" spans="1:7" x14ac:dyDescent="0.2">
      <c r="A74" s="4" t="s">
        <v>306</v>
      </c>
      <c r="B74" s="9">
        <v>42780</v>
      </c>
      <c r="C74" s="9">
        <v>43524</v>
      </c>
      <c r="D74" s="9">
        <v>43889</v>
      </c>
      <c r="E74" s="9">
        <v>43889</v>
      </c>
      <c r="F74" s="9">
        <v>43889</v>
      </c>
      <c r="G74" s="9">
        <v>44042</v>
      </c>
    </row>
    <row r="75" spans="1:7" x14ac:dyDescent="0.2">
      <c r="A75" s="4" t="s">
        <v>307</v>
      </c>
      <c r="B75" s="8" t="s">
        <v>308</v>
      </c>
      <c r="C75" s="8" t="s">
        <v>308</v>
      </c>
      <c r="D75" s="8" t="s">
        <v>309</v>
      </c>
      <c r="E75" s="8" t="s">
        <v>308</v>
      </c>
      <c r="F75" s="8" t="s">
        <v>310</v>
      </c>
      <c r="G75" s="8" t="s">
        <v>310</v>
      </c>
    </row>
    <row r="76" spans="1:7" x14ac:dyDescent="0.2">
      <c r="A76" s="4" t="s">
        <v>311</v>
      </c>
      <c r="B76" s="8" t="s">
        <v>312</v>
      </c>
      <c r="C76" s="8" t="s">
        <v>312</v>
      </c>
      <c r="D76" s="8" t="s">
        <v>312</v>
      </c>
      <c r="E76" s="8" t="s">
        <v>312</v>
      </c>
      <c r="F76" s="8" t="s">
        <v>312</v>
      </c>
      <c r="G76" s="8" t="s">
        <v>313</v>
      </c>
    </row>
    <row r="77" spans="1:7" x14ac:dyDescent="0.2">
      <c r="A77" s="4"/>
      <c r="B77" s="4"/>
      <c r="C77" s="4"/>
      <c r="D77" s="4"/>
      <c r="E77" s="4"/>
      <c r="F77" s="4"/>
      <c r="G77" s="4"/>
    </row>
    <row r="78" spans="1:7" ht="67.5" x14ac:dyDescent="0.2">
      <c r="A78" s="31" t="s">
        <v>323</v>
      </c>
      <c r="B78" s="3"/>
      <c r="C78" s="3"/>
      <c r="D78" s="3"/>
      <c r="E78" s="3"/>
      <c r="F78" s="3"/>
      <c r="G78" s="3"/>
    </row>
  </sheetData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015D-ADE0-4954-8435-1CB61625D163}">
  <sheetPr>
    <tabColor theme="7"/>
  </sheetPr>
  <dimension ref="B2:D460"/>
  <sheetViews>
    <sheetView showGridLines="0" workbookViewId="0"/>
  </sheetViews>
  <sheetFormatPr defaultRowHeight="15.75" x14ac:dyDescent="0.25"/>
  <cols>
    <col min="1" max="1" width="10" customWidth="1"/>
    <col min="2" max="2" width="10.875" bestFit="1" customWidth="1"/>
    <col min="4" max="4" width="20.875" bestFit="1" customWidth="1"/>
  </cols>
  <sheetData>
    <row r="2" spans="2:4" x14ac:dyDescent="0.25">
      <c r="B2" s="33" t="s">
        <v>451</v>
      </c>
      <c r="C2" s="33" t="s">
        <v>452</v>
      </c>
      <c r="D2" s="33" t="s">
        <v>453</v>
      </c>
    </row>
    <row r="3" spans="2:4" x14ac:dyDescent="0.25">
      <c r="B3" s="377">
        <v>43474</v>
      </c>
      <c r="C3">
        <v>67.029999000000004</v>
      </c>
      <c r="D3">
        <v>19.2</v>
      </c>
    </row>
    <row r="4" spans="2:4" x14ac:dyDescent="0.25">
      <c r="B4" s="377">
        <v>43475</v>
      </c>
      <c r="C4">
        <v>68.204002000000003</v>
      </c>
      <c r="D4">
        <v>4.4000000000000004</v>
      </c>
    </row>
    <row r="5" spans="2:4" x14ac:dyDescent="0.25">
      <c r="B5" s="377">
        <v>43476</v>
      </c>
      <c r="C5">
        <v>67.25</v>
      </c>
      <c r="D5">
        <v>20.2</v>
      </c>
    </row>
    <row r="6" spans="2:4" x14ac:dyDescent="0.25">
      <c r="B6" s="377">
        <v>43479</v>
      </c>
      <c r="C6">
        <v>70.550003000000004</v>
      </c>
      <c r="D6">
        <v>32.200000000000003</v>
      </c>
    </row>
    <row r="7" spans="2:4" x14ac:dyDescent="0.25">
      <c r="B7" s="377">
        <v>43480</v>
      </c>
      <c r="C7">
        <v>69.339995999999999</v>
      </c>
      <c r="D7">
        <v>30</v>
      </c>
    </row>
    <row r="8" spans="2:4" x14ac:dyDescent="0.25">
      <c r="B8" s="377">
        <v>43481</v>
      </c>
      <c r="C8">
        <v>69.900002000000001</v>
      </c>
      <c r="D8">
        <v>13.4</v>
      </c>
    </row>
    <row r="9" spans="2:4" x14ac:dyDescent="0.25">
      <c r="B9" s="377">
        <v>43482</v>
      </c>
      <c r="C9">
        <v>68.349997999999999</v>
      </c>
      <c r="D9">
        <v>13</v>
      </c>
    </row>
    <row r="10" spans="2:4" x14ac:dyDescent="0.25">
      <c r="B10" s="377">
        <v>43483</v>
      </c>
      <c r="C10">
        <v>69.239998</v>
      </c>
      <c r="D10">
        <v>33.700000000000003</v>
      </c>
    </row>
    <row r="11" spans="2:4" x14ac:dyDescent="0.25">
      <c r="B11" s="377">
        <v>43487</v>
      </c>
      <c r="C11">
        <v>68.949996999999996</v>
      </c>
      <c r="D11">
        <v>28.1</v>
      </c>
    </row>
    <row r="12" spans="2:4" x14ac:dyDescent="0.25">
      <c r="B12" s="377">
        <v>43488</v>
      </c>
      <c r="C12">
        <v>64.489998</v>
      </c>
      <c r="D12">
        <v>185.2</v>
      </c>
    </row>
    <row r="13" spans="2:4" x14ac:dyDescent="0.25">
      <c r="B13" s="377">
        <v>43489</v>
      </c>
      <c r="C13">
        <v>64.550003000000004</v>
      </c>
      <c r="D13">
        <v>63</v>
      </c>
    </row>
    <row r="14" spans="2:4" x14ac:dyDescent="0.25">
      <c r="B14" s="377">
        <v>43490</v>
      </c>
      <c r="C14">
        <v>63.700001</v>
      </c>
      <c r="D14">
        <v>46.4</v>
      </c>
    </row>
    <row r="15" spans="2:4" x14ac:dyDescent="0.25">
      <c r="B15" s="377">
        <v>43493</v>
      </c>
      <c r="C15">
        <v>62.990001999999997</v>
      </c>
      <c r="D15">
        <v>19.2</v>
      </c>
    </row>
    <row r="16" spans="2:4" x14ac:dyDescent="0.25">
      <c r="B16" s="377">
        <v>43494</v>
      </c>
      <c r="C16">
        <v>62.98</v>
      </c>
      <c r="D16">
        <v>5.6</v>
      </c>
    </row>
    <row r="17" spans="2:4" x14ac:dyDescent="0.25">
      <c r="B17" s="377">
        <v>43495</v>
      </c>
      <c r="C17">
        <v>64.319999999999993</v>
      </c>
      <c r="D17">
        <v>10.4</v>
      </c>
    </row>
    <row r="18" spans="2:4" x14ac:dyDescent="0.25">
      <c r="B18" s="377">
        <v>43496</v>
      </c>
      <c r="C18">
        <v>63.060001</v>
      </c>
      <c r="D18">
        <v>19.899999999999999</v>
      </c>
    </row>
    <row r="19" spans="2:4" x14ac:dyDescent="0.25">
      <c r="B19" s="377">
        <v>43497</v>
      </c>
      <c r="C19">
        <v>63.57</v>
      </c>
      <c r="D19">
        <v>4.5999999999999996</v>
      </c>
    </row>
    <row r="20" spans="2:4" x14ac:dyDescent="0.25">
      <c r="B20" s="377">
        <v>43500</v>
      </c>
      <c r="C20">
        <v>62.900002000000001</v>
      </c>
      <c r="D20">
        <v>5.9</v>
      </c>
    </row>
    <row r="21" spans="2:4" x14ac:dyDescent="0.25">
      <c r="B21" s="377">
        <v>43501</v>
      </c>
      <c r="C21">
        <v>62.459999000000003</v>
      </c>
      <c r="D21">
        <v>9.6</v>
      </c>
    </row>
    <row r="22" spans="2:4" x14ac:dyDescent="0.25">
      <c r="B22" s="377">
        <v>43502</v>
      </c>
      <c r="C22">
        <v>61.700001</v>
      </c>
      <c r="D22">
        <v>3.4</v>
      </c>
    </row>
    <row r="23" spans="2:4" x14ac:dyDescent="0.25">
      <c r="B23" s="377">
        <v>43503</v>
      </c>
      <c r="C23">
        <v>60.07</v>
      </c>
      <c r="D23">
        <v>5.9</v>
      </c>
    </row>
    <row r="24" spans="2:4" x14ac:dyDescent="0.25">
      <c r="B24" s="377">
        <v>43504</v>
      </c>
      <c r="C24">
        <v>60.869999</v>
      </c>
      <c r="D24">
        <v>19.8</v>
      </c>
    </row>
    <row r="25" spans="2:4" x14ac:dyDescent="0.25">
      <c r="B25" s="377">
        <v>43507</v>
      </c>
      <c r="C25">
        <v>60.75</v>
      </c>
      <c r="D25">
        <v>2.6</v>
      </c>
    </row>
    <row r="26" spans="2:4" x14ac:dyDescent="0.25">
      <c r="B26" s="377">
        <v>43508</v>
      </c>
      <c r="C26">
        <v>60.669998</v>
      </c>
      <c r="D26">
        <v>13.2</v>
      </c>
    </row>
    <row r="27" spans="2:4" x14ac:dyDescent="0.25">
      <c r="B27" s="377">
        <v>43509</v>
      </c>
      <c r="C27">
        <v>61.674999</v>
      </c>
      <c r="D27">
        <v>12</v>
      </c>
    </row>
    <row r="28" spans="2:4" x14ac:dyDescent="0.25">
      <c r="B28" s="377">
        <v>43510</v>
      </c>
      <c r="C28">
        <v>60.380001</v>
      </c>
      <c r="D28">
        <v>73.7</v>
      </c>
    </row>
    <row r="29" spans="2:4" x14ac:dyDescent="0.25">
      <c r="B29" s="377">
        <v>43511</v>
      </c>
      <c r="C29">
        <v>61.061999999999998</v>
      </c>
      <c r="D29">
        <v>12.5</v>
      </c>
    </row>
    <row r="30" spans="2:4" x14ac:dyDescent="0.25">
      <c r="B30" s="377">
        <v>43515</v>
      </c>
      <c r="C30">
        <v>60.73</v>
      </c>
      <c r="D30">
        <v>17</v>
      </c>
    </row>
    <row r="31" spans="2:4" x14ac:dyDescent="0.25">
      <c r="B31" s="377">
        <v>43516</v>
      </c>
      <c r="C31">
        <v>59.900002000000001</v>
      </c>
      <c r="D31">
        <v>44.3</v>
      </c>
    </row>
    <row r="32" spans="2:4" x14ac:dyDescent="0.25">
      <c r="B32" s="377">
        <v>43517</v>
      </c>
      <c r="C32">
        <v>63.439999</v>
      </c>
      <c r="D32">
        <v>46.4</v>
      </c>
    </row>
    <row r="33" spans="2:4" x14ac:dyDescent="0.25">
      <c r="B33" s="377">
        <v>43518</v>
      </c>
      <c r="C33">
        <v>62.130001</v>
      </c>
      <c r="D33">
        <v>16.8</v>
      </c>
    </row>
    <row r="34" spans="2:4" x14ac:dyDescent="0.25">
      <c r="B34" s="377">
        <v>43521</v>
      </c>
      <c r="C34">
        <v>60.209999000000003</v>
      </c>
      <c r="D34">
        <v>14.4</v>
      </c>
    </row>
    <row r="35" spans="2:4" x14ac:dyDescent="0.25">
      <c r="B35" s="377">
        <v>43522</v>
      </c>
      <c r="C35">
        <v>61.514999000000003</v>
      </c>
      <c r="D35">
        <v>6.6</v>
      </c>
    </row>
    <row r="36" spans="2:4" x14ac:dyDescent="0.25">
      <c r="B36" s="377">
        <v>43523</v>
      </c>
      <c r="C36">
        <v>60.959999000000003</v>
      </c>
      <c r="D36">
        <v>6.5</v>
      </c>
    </row>
    <row r="37" spans="2:4" x14ac:dyDescent="0.25">
      <c r="B37" s="377">
        <v>43524</v>
      </c>
      <c r="C37">
        <v>60.5</v>
      </c>
      <c r="D37">
        <v>7</v>
      </c>
    </row>
    <row r="38" spans="2:4" x14ac:dyDescent="0.25">
      <c r="B38" s="377">
        <v>43525</v>
      </c>
      <c r="C38">
        <v>59.025002000000001</v>
      </c>
      <c r="D38">
        <v>8.1999999999999993</v>
      </c>
    </row>
    <row r="39" spans="2:4" x14ac:dyDescent="0.25">
      <c r="B39" s="377">
        <v>43528</v>
      </c>
      <c r="C39">
        <v>59</v>
      </c>
      <c r="D39">
        <v>26.5</v>
      </c>
    </row>
    <row r="40" spans="2:4" x14ac:dyDescent="0.25">
      <c r="B40" s="377">
        <v>43529</v>
      </c>
      <c r="C40">
        <v>59.790000999999997</v>
      </c>
      <c r="D40">
        <v>11</v>
      </c>
    </row>
    <row r="41" spans="2:4" x14ac:dyDescent="0.25">
      <c r="B41" s="377">
        <v>43530</v>
      </c>
      <c r="C41">
        <v>60.549999</v>
      </c>
      <c r="D41">
        <v>14.8</v>
      </c>
    </row>
    <row r="42" spans="2:4" x14ac:dyDescent="0.25">
      <c r="B42" s="377">
        <v>43531</v>
      </c>
      <c r="C42">
        <v>60.799999</v>
      </c>
      <c r="D42">
        <v>13.7</v>
      </c>
    </row>
    <row r="43" spans="2:4" x14ac:dyDescent="0.25">
      <c r="B43" s="377">
        <v>43532</v>
      </c>
      <c r="C43">
        <v>59.549999</v>
      </c>
      <c r="D43">
        <v>7</v>
      </c>
    </row>
    <row r="44" spans="2:4" x14ac:dyDescent="0.25">
      <c r="B44" s="377">
        <v>43535</v>
      </c>
      <c r="C44">
        <v>59.720001000000003</v>
      </c>
      <c r="D44">
        <v>23.2</v>
      </c>
    </row>
    <row r="45" spans="2:4" x14ac:dyDescent="0.25">
      <c r="B45" s="377">
        <v>43536</v>
      </c>
      <c r="C45">
        <v>60.290000999999997</v>
      </c>
      <c r="D45">
        <v>5.5</v>
      </c>
    </row>
    <row r="46" spans="2:4" x14ac:dyDescent="0.25">
      <c r="B46" s="377">
        <v>43537</v>
      </c>
      <c r="C46">
        <v>60.32</v>
      </c>
      <c r="D46">
        <v>9.4</v>
      </c>
    </row>
    <row r="47" spans="2:4" x14ac:dyDescent="0.25">
      <c r="B47" s="377">
        <v>43538</v>
      </c>
      <c r="C47">
        <v>61.189999</v>
      </c>
      <c r="D47">
        <v>3.6</v>
      </c>
    </row>
    <row r="48" spans="2:4" x14ac:dyDescent="0.25">
      <c r="B48" s="377">
        <v>43539</v>
      </c>
      <c r="C48">
        <v>62.759998000000003</v>
      </c>
      <c r="D48">
        <v>7.7</v>
      </c>
    </row>
    <row r="49" spans="2:4" x14ac:dyDescent="0.25">
      <c r="B49" s="377">
        <v>43542</v>
      </c>
      <c r="C49">
        <v>63.150002000000001</v>
      </c>
      <c r="D49">
        <v>9.1999999999999993</v>
      </c>
    </row>
    <row r="50" spans="2:4" x14ac:dyDescent="0.25">
      <c r="B50" s="377">
        <v>43543</v>
      </c>
      <c r="C50">
        <v>61.549999</v>
      </c>
      <c r="D50">
        <v>8.4</v>
      </c>
    </row>
    <row r="51" spans="2:4" x14ac:dyDescent="0.25">
      <c r="B51" s="377">
        <v>43544</v>
      </c>
      <c r="C51">
        <v>62.154998999999997</v>
      </c>
      <c r="D51">
        <v>2.9</v>
      </c>
    </row>
    <row r="52" spans="2:4" x14ac:dyDescent="0.25">
      <c r="B52" s="377">
        <v>43545</v>
      </c>
      <c r="C52">
        <v>61.07</v>
      </c>
      <c r="D52">
        <v>6.6</v>
      </c>
    </row>
    <row r="53" spans="2:4" x14ac:dyDescent="0.25">
      <c r="B53" s="377">
        <v>43546</v>
      </c>
      <c r="C53">
        <v>60.73</v>
      </c>
      <c r="D53">
        <v>7</v>
      </c>
    </row>
    <row r="54" spans="2:4" x14ac:dyDescent="0.25">
      <c r="B54" s="377">
        <v>43549</v>
      </c>
      <c r="C54">
        <v>60.259998000000003</v>
      </c>
      <c r="D54">
        <v>1.2</v>
      </c>
    </row>
    <row r="55" spans="2:4" x14ac:dyDescent="0.25">
      <c r="B55" s="377">
        <v>43550</v>
      </c>
      <c r="C55">
        <v>61.095001000000003</v>
      </c>
      <c r="D55">
        <v>75.599999999999994</v>
      </c>
    </row>
    <row r="56" spans="2:4" x14ac:dyDescent="0.25">
      <c r="B56" s="377">
        <v>43551</v>
      </c>
      <c r="C56">
        <v>59.75</v>
      </c>
      <c r="D56">
        <v>29.3</v>
      </c>
    </row>
    <row r="57" spans="2:4" x14ac:dyDescent="0.25">
      <c r="B57" s="377">
        <v>43552</v>
      </c>
      <c r="C57">
        <v>59.900002000000001</v>
      </c>
      <c r="D57">
        <v>17.600000000000001</v>
      </c>
    </row>
    <row r="58" spans="2:4" x14ac:dyDescent="0.25">
      <c r="B58" s="377">
        <v>43553</v>
      </c>
      <c r="C58">
        <v>60.830002</v>
      </c>
      <c r="D58">
        <v>5.4</v>
      </c>
    </row>
    <row r="59" spans="2:4" x14ac:dyDescent="0.25">
      <c r="B59" s="377">
        <v>43556</v>
      </c>
      <c r="C59">
        <v>61.709999000000003</v>
      </c>
      <c r="D59">
        <v>4.4000000000000004</v>
      </c>
    </row>
    <row r="60" spans="2:4" x14ac:dyDescent="0.25">
      <c r="B60" s="377">
        <v>43557</v>
      </c>
      <c r="C60">
        <v>61.860000999999997</v>
      </c>
      <c r="D60">
        <v>4.3</v>
      </c>
    </row>
    <row r="61" spans="2:4" x14ac:dyDescent="0.25">
      <c r="B61" s="377">
        <v>43558</v>
      </c>
      <c r="C61">
        <v>61.68</v>
      </c>
      <c r="D61">
        <v>13.1</v>
      </c>
    </row>
    <row r="62" spans="2:4" x14ac:dyDescent="0.25">
      <c r="B62" s="377">
        <v>43559</v>
      </c>
      <c r="C62">
        <v>61.748001000000002</v>
      </c>
      <c r="D62">
        <v>3.5</v>
      </c>
    </row>
    <row r="63" spans="2:4" x14ac:dyDescent="0.25">
      <c r="B63" s="377">
        <v>43560</v>
      </c>
      <c r="C63">
        <v>60.564999</v>
      </c>
      <c r="D63">
        <v>1.3</v>
      </c>
    </row>
    <row r="64" spans="2:4" x14ac:dyDescent="0.25">
      <c r="B64" s="377">
        <v>43563</v>
      </c>
      <c r="C64">
        <v>60.790000999999997</v>
      </c>
      <c r="D64">
        <v>3.7</v>
      </c>
    </row>
    <row r="65" spans="2:4" x14ac:dyDescent="0.25">
      <c r="B65" s="377">
        <v>43564</v>
      </c>
      <c r="C65">
        <v>60.049999</v>
      </c>
      <c r="D65">
        <v>3.9</v>
      </c>
    </row>
    <row r="66" spans="2:4" x14ac:dyDescent="0.25">
      <c r="B66" s="377">
        <v>43565</v>
      </c>
      <c r="C66">
        <v>60.332999999999998</v>
      </c>
      <c r="D66">
        <v>2.5</v>
      </c>
    </row>
    <row r="67" spans="2:4" x14ac:dyDescent="0.25">
      <c r="B67" s="377">
        <v>43566</v>
      </c>
      <c r="C67">
        <v>61.060001</v>
      </c>
      <c r="D67">
        <v>1.8</v>
      </c>
    </row>
    <row r="68" spans="2:4" x14ac:dyDescent="0.25">
      <c r="B68" s="377">
        <v>43567</v>
      </c>
      <c r="C68">
        <v>60.719002000000003</v>
      </c>
      <c r="D68">
        <v>4.3</v>
      </c>
    </row>
    <row r="69" spans="2:4" x14ac:dyDescent="0.25">
      <c r="B69" s="377">
        <v>43570</v>
      </c>
      <c r="C69">
        <v>62</v>
      </c>
      <c r="D69">
        <v>2.9</v>
      </c>
    </row>
    <row r="70" spans="2:4" x14ac:dyDescent="0.25">
      <c r="B70" s="377">
        <v>43571</v>
      </c>
      <c r="C70">
        <v>61.598998999999999</v>
      </c>
      <c r="D70">
        <v>4.7</v>
      </c>
    </row>
    <row r="71" spans="2:4" x14ac:dyDescent="0.25">
      <c r="B71" s="377">
        <v>43572</v>
      </c>
      <c r="C71">
        <v>62.459999000000003</v>
      </c>
      <c r="D71">
        <v>9.8000000000000007</v>
      </c>
    </row>
    <row r="72" spans="2:4" x14ac:dyDescent="0.25">
      <c r="B72" s="377">
        <v>43573</v>
      </c>
      <c r="C72">
        <v>61.02</v>
      </c>
      <c r="D72">
        <v>2.9</v>
      </c>
    </row>
    <row r="73" spans="2:4" x14ac:dyDescent="0.25">
      <c r="B73" s="377">
        <v>43577</v>
      </c>
      <c r="C73">
        <v>61.82</v>
      </c>
      <c r="D73">
        <v>2.4</v>
      </c>
    </row>
    <row r="74" spans="2:4" x14ac:dyDescent="0.25">
      <c r="B74" s="377">
        <v>43578</v>
      </c>
      <c r="C74">
        <v>59.5</v>
      </c>
      <c r="D74">
        <v>32.700000000000003</v>
      </c>
    </row>
    <row r="75" spans="2:4" x14ac:dyDescent="0.25">
      <c r="B75" s="377">
        <v>43579</v>
      </c>
      <c r="C75">
        <v>58.650002000000001</v>
      </c>
      <c r="D75">
        <v>6.4</v>
      </c>
    </row>
    <row r="76" spans="2:4" x14ac:dyDescent="0.25">
      <c r="B76" s="377">
        <v>43580</v>
      </c>
      <c r="C76">
        <v>58</v>
      </c>
      <c r="D76">
        <v>8.8000000000000007</v>
      </c>
    </row>
    <row r="77" spans="2:4" x14ac:dyDescent="0.25">
      <c r="B77" s="377">
        <v>43581</v>
      </c>
      <c r="C77">
        <v>58.169998</v>
      </c>
      <c r="D77">
        <v>4.7</v>
      </c>
    </row>
    <row r="78" spans="2:4" x14ac:dyDescent="0.25">
      <c r="B78" s="377">
        <v>43584</v>
      </c>
      <c r="C78">
        <v>59</v>
      </c>
      <c r="D78">
        <v>20.2</v>
      </c>
    </row>
    <row r="79" spans="2:4" x14ac:dyDescent="0.25">
      <c r="B79" s="377">
        <v>43585</v>
      </c>
      <c r="C79">
        <v>59.119999</v>
      </c>
      <c r="D79">
        <v>3</v>
      </c>
    </row>
    <row r="80" spans="2:4" x14ac:dyDescent="0.25">
      <c r="B80" s="377">
        <v>43586</v>
      </c>
      <c r="C80">
        <v>58.869999</v>
      </c>
      <c r="D80">
        <v>5.9</v>
      </c>
    </row>
    <row r="81" spans="2:4" x14ac:dyDescent="0.25">
      <c r="B81" s="377">
        <v>43587</v>
      </c>
      <c r="C81">
        <v>59.009998000000003</v>
      </c>
      <c r="D81">
        <v>22.9</v>
      </c>
    </row>
    <row r="82" spans="2:4" x14ac:dyDescent="0.25">
      <c r="B82" s="377">
        <v>43588</v>
      </c>
      <c r="C82">
        <v>57.75</v>
      </c>
      <c r="D82">
        <v>5.8</v>
      </c>
    </row>
    <row r="83" spans="2:4" x14ac:dyDescent="0.25">
      <c r="B83" s="377">
        <v>43591</v>
      </c>
      <c r="C83">
        <v>57.200001</v>
      </c>
      <c r="D83">
        <v>6.6</v>
      </c>
    </row>
    <row r="84" spans="2:4" x14ac:dyDescent="0.25">
      <c r="B84" s="377">
        <v>43592</v>
      </c>
      <c r="C84">
        <v>56.98</v>
      </c>
      <c r="D84">
        <v>16.8</v>
      </c>
    </row>
    <row r="85" spans="2:4" x14ac:dyDescent="0.25">
      <c r="B85" s="377">
        <v>43593</v>
      </c>
      <c r="C85">
        <v>56.880001</v>
      </c>
      <c r="D85">
        <v>5.7</v>
      </c>
    </row>
    <row r="86" spans="2:4" x14ac:dyDescent="0.25">
      <c r="B86" s="377">
        <v>43594</v>
      </c>
      <c r="C86">
        <v>56</v>
      </c>
      <c r="D86">
        <v>10.8</v>
      </c>
    </row>
    <row r="87" spans="2:4" x14ac:dyDescent="0.25">
      <c r="B87" s="377">
        <v>43595</v>
      </c>
      <c r="C87">
        <v>57.619999</v>
      </c>
      <c r="D87">
        <v>8.5</v>
      </c>
    </row>
    <row r="88" spans="2:4" x14ac:dyDescent="0.25">
      <c r="B88" s="377">
        <v>43598</v>
      </c>
      <c r="C88">
        <v>56.25</v>
      </c>
      <c r="D88">
        <v>5</v>
      </c>
    </row>
    <row r="89" spans="2:4" x14ac:dyDescent="0.25">
      <c r="B89" s="377">
        <v>43599</v>
      </c>
      <c r="C89">
        <v>57.759998000000003</v>
      </c>
      <c r="D89">
        <v>3.7</v>
      </c>
    </row>
    <row r="90" spans="2:4" x14ac:dyDescent="0.25">
      <c r="B90" s="377">
        <v>43600</v>
      </c>
      <c r="C90">
        <v>58.07</v>
      </c>
      <c r="D90">
        <v>3</v>
      </c>
    </row>
    <row r="91" spans="2:4" x14ac:dyDescent="0.25">
      <c r="B91" s="377">
        <v>43601</v>
      </c>
      <c r="C91">
        <v>58.380001</v>
      </c>
      <c r="D91">
        <v>2</v>
      </c>
    </row>
    <row r="92" spans="2:4" x14ac:dyDescent="0.25">
      <c r="B92" s="377">
        <v>43602</v>
      </c>
      <c r="C92">
        <v>58.119999</v>
      </c>
      <c r="D92">
        <v>5.8</v>
      </c>
    </row>
    <row r="93" spans="2:4" x14ac:dyDescent="0.25">
      <c r="B93" s="377">
        <v>43605</v>
      </c>
      <c r="C93">
        <v>57.77</v>
      </c>
      <c r="D93">
        <v>15.9</v>
      </c>
    </row>
    <row r="94" spans="2:4" x14ac:dyDescent="0.25">
      <c r="B94" s="377">
        <v>43606</v>
      </c>
      <c r="C94">
        <v>56.810001</v>
      </c>
      <c r="D94">
        <v>6</v>
      </c>
    </row>
    <row r="95" spans="2:4" x14ac:dyDescent="0.25">
      <c r="B95" s="377">
        <v>43607</v>
      </c>
      <c r="C95">
        <v>57.84</v>
      </c>
      <c r="D95">
        <v>4.4000000000000004</v>
      </c>
    </row>
    <row r="96" spans="2:4" x14ac:dyDescent="0.25">
      <c r="B96" s="377">
        <v>43608</v>
      </c>
      <c r="C96">
        <v>56.009998000000003</v>
      </c>
      <c r="D96">
        <v>5.6</v>
      </c>
    </row>
    <row r="97" spans="2:4" x14ac:dyDescent="0.25">
      <c r="B97" s="377">
        <v>43609</v>
      </c>
      <c r="C97">
        <v>56.099997999999999</v>
      </c>
      <c r="D97">
        <v>4.7</v>
      </c>
    </row>
    <row r="98" spans="2:4" x14ac:dyDescent="0.25">
      <c r="B98" s="377">
        <v>43613</v>
      </c>
      <c r="C98">
        <v>55</v>
      </c>
      <c r="D98">
        <v>20.8</v>
      </c>
    </row>
    <row r="99" spans="2:4" x14ac:dyDescent="0.25">
      <c r="B99" s="377">
        <v>43614</v>
      </c>
      <c r="C99">
        <v>54.509998000000003</v>
      </c>
      <c r="D99">
        <v>5.6</v>
      </c>
    </row>
    <row r="100" spans="2:4" x14ac:dyDescent="0.25">
      <c r="B100" s="377">
        <v>43615</v>
      </c>
      <c r="C100">
        <v>54.400002000000001</v>
      </c>
      <c r="D100">
        <v>1.2</v>
      </c>
    </row>
    <row r="101" spans="2:4" x14ac:dyDescent="0.25">
      <c r="B101" s="377">
        <v>43616</v>
      </c>
      <c r="C101">
        <v>56.200001</v>
      </c>
      <c r="D101">
        <v>10.9</v>
      </c>
    </row>
    <row r="102" spans="2:4" x14ac:dyDescent="0.25">
      <c r="B102" s="377">
        <v>43619</v>
      </c>
      <c r="C102">
        <v>56.5</v>
      </c>
      <c r="D102">
        <v>3.9</v>
      </c>
    </row>
    <row r="103" spans="2:4" x14ac:dyDescent="0.25">
      <c r="B103" s="377">
        <v>43620</v>
      </c>
      <c r="C103">
        <v>52</v>
      </c>
      <c r="D103">
        <v>81.3</v>
      </c>
    </row>
    <row r="104" spans="2:4" x14ac:dyDescent="0.25">
      <c r="B104" s="377">
        <v>43621</v>
      </c>
      <c r="C104">
        <v>53.119999</v>
      </c>
      <c r="D104">
        <v>18.3</v>
      </c>
    </row>
    <row r="105" spans="2:4" x14ac:dyDescent="0.25">
      <c r="B105" s="377">
        <v>43622</v>
      </c>
      <c r="C105">
        <v>52.849997999999999</v>
      </c>
      <c r="D105">
        <v>77.400000000000006</v>
      </c>
    </row>
    <row r="106" spans="2:4" x14ac:dyDescent="0.25">
      <c r="B106" s="377">
        <v>43623</v>
      </c>
      <c r="C106">
        <v>54.805</v>
      </c>
      <c r="D106">
        <v>25.9</v>
      </c>
    </row>
    <row r="107" spans="2:4" x14ac:dyDescent="0.25">
      <c r="B107" s="377">
        <v>43626</v>
      </c>
      <c r="C107">
        <v>54</v>
      </c>
      <c r="D107">
        <v>42</v>
      </c>
    </row>
    <row r="108" spans="2:4" x14ac:dyDescent="0.25">
      <c r="B108" s="377">
        <v>43627</v>
      </c>
      <c r="C108">
        <v>50.950001</v>
      </c>
      <c r="D108">
        <v>316.7</v>
      </c>
    </row>
    <row r="109" spans="2:4" x14ac:dyDescent="0.25">
      <c r="B109" s="377">
        <v>43628</v>
      </c>
      <c r="C109">
        <v>49.84</v>
      </c>
      <c r="D109">
        <v>303.10000000000002</v>
      </c>
    </row>
    <row r="110" spans="2:4" x14ac:dyDescent="0.25">
      <c r="B110" s="377">
        <v>43629</v>
      </c>
      <c r="C110">
        <v>55</v>
      </c>
      <c r="D110">
        <v>209.5</v>
      </c>
    </row>
    <row r="111" spans="2:4" x14ac:dyDescent="0.25">
      <c r="B111" s="377">
        <v>43630</v>
      </c>
      <c r="C111">
        <v>53.610000999999997</v>
      </c>
      <c r="D111">
        <v>18.100000000000001</v>
      </c>
    </row>
    <row r="112" spans="2:4" x14ac:dyDescent="0.25">
      <c r="B112" s="377">
        <v>43633</v>
      </c>
      <c r="C112">
        <v>52.740001999999997</v>
      </c>
      <c r="D112">
        <v>10.7</v>
      </c>
    </row>
    <row r="113" spans="2:4" x14ac:dyDescent="0.25">
      <c r="B113" s="377">
        <v>43634</v>
      </c>
      <c r="C113">
        <v>53.459999000000003</v>
      </c>
      <c r="D113">
        <v>13.9</v>
      </c>
    </row>
    <row r="114" spans="2:4" x14ac:dyDescent="0.25">
      <c r="B114" s="377">
        <v>43635</v>
      </c>
      <c r="C114">
        <v>53.720001000000003</v>
      </c>
      <c r="D114">
        <v>10.9</v>
      </c>
    </row>
    <row r="115" spans="2:4" x14ac:dyDescent="0.25">
      <c r="B115" s="377">
        <v>43636</v>
      </c>
      <c r="C115">
        <v>54.540000999999997</v>
      </c>
      <c r="D115">
        <v>7.5</v>
      </c>
    </row>
    <row r="116" spans="2:4" x14ac:dyDescent="0.25">
      <c r="B116" s="377">
        <v>43637</v>
      </c>
      <c r="C116">
        <v>54.450001</v>
      </c>
      <c r="D116">
        <v>6.6</v>
      </c>
    </row>
    <row r="117" spans="2:4" x14ac:dyDescent="0.25">
      <c r="B117" s="377">
        <v>43640</v>
      </c>
      <c r="C117">
        <v>55.450001</v>
      </c>
      <c r="D117">
        <v>17.399999999999999</v>
      </c>
    </row>
    <row r="118" spans="2:4" x14ac:dyDescent="0.25">
      <c r="B118" s="377">
        <v>43641</v>
      </c>
      <c r="C118">
        <v>55.560001</v>
      </c>
      <c r="D118">
        <v>16.3</v>
      </c>
    </row>
    <row r="119" spans="2:4" x14ac:dyDescent="0.25">
      <c r="B119" s="377">
        <v>43642</v>
      </c>
      <c r="C119">
        <v>55.860000999999997</v>
      </c>
      <c r="D119">
        <v>8.1</v>
      </c>
    </row>
    <row r="120" spans="2:4" x14ac:dyDescent="0.25">
      <c r="B120" s="377">
        <v>43643</v>
      </c>
      <c r="C120">
        <v>55.549999</v>
      </c>
      <c r="D120">
        <v>3.3</v>
      </c>
    </row>
    <row r="121" spans="2:4" x14ac:dyDescent="0.25">
      <c r="B121" s="377">
        <v>43644</v>
      </c>
      <c r="C121">
        <v>55.700001</v>
      </c>
      <c r="D121">
        <v>9.5</v>
      </c>
    </row>
    <row r="122" spans="2:4" x14ac:dyDescent="0.25">
      <c r="B122" s="377">
        <v>43647</v>
      </c>
      <c r="C122">
        <v>55.869999</v>
      </c>
      <c r="D122">
        <v>4.5</v>
      </c>
    </row>
    <row r="123" spans="2:4" x14ac:dyDescent="0.25">
      <c r="B123" s="377">
        <v>43648</v>
      </c>
      <c r="C123">
        <v>56.060001</v>
      </c>
      <c r="D123">
        <v>3.7</v>
      </c>
    </row>
    <row r="124" spans="2:4" x14ac:dyDescent="0.25">
      <c r="B124" s="377">
        <v>43649</v>
      </c>
      <c r="C124">
        <v>56.970001000000003</v>
      </c>
      <c r="D124">
        <v>5.9</v>
      </c>
    </row>
    <row r="125" spans="2:4" x14ac:dyDescent="0.25">
      <c r="B125" s="377">
        <v>43651</v>
      </c>
      <c r="C125">
        <v>57.349997999999999</v>
      </c>
      <c r="D125">
        <v>6.5</v>
      </c>
    </row>
    <row r="126" spans="2:4" x14ac:dyDescent="0.25">
      <c r="B126" s="377">
        <v>43654</v>
      </c>
      <c r="C126">
        <v>57.709999000000003</v>
      </c>
      <c r="D126">
        <v>16.100000000000001</v>
      </c>
    </row>
    <row r="127" spans="2:4" x14ac:dyDescent="0.25">
      <c r="B127" s="377">
        <v>43655</v>
      </c>
      <c r="C127">
        <v>57.52</v>
      </c>
      <c r="D127">
        <v>3.2</v>
      </c>
    </row>
    <row r="128" spans="2:4" x14ac:dyDescent="0.25">
      <c r="B128" s="377">
        <v>43656</v>
      </c>
      <c r="C128">
        <v>58.029998999999997</v>
      </c>
      <c r="D128">
        <v>6</v>
      </c>
    </row>
    <row r="129" spans="2:4" x14ac:dyDescent="0.25">
      <c r="B129" s="377">
        <v>43657</v>
      </c>
      <c r="C129">
        <v>58.73</v>
      </c>
      <c r="D129">
        <v>3.5</v>
      </c>
    </row>
    <row r="130" spans="2:4" x14ac:dyDescent="0.25">
      <c r="B130" s="377">
        <v>43658</v>
      </c>
      <c r="C130">
        <v>57.889999000000003</v>
      </c>
      <c r="D130">
        <v>4.7</v>
      </c>
    </row>
    <row r="131" spans="2:4" x14ac:dyDescent="0.25">
      <c r="B131" s="377">
        <v>43661</v>
      </c>
      <c r="C131">
        <v>57.52</v>
      </c>
      <c r="D131">
        <v>231.7</v>
      </c>
    </row>
    <row r="132" spans="2:4" x14ac:dyDescent="0.25">
      <c r="B132" s="377">
        <v>43662</v>
      </c>
      <c r="C132">
        <v>57.709999000000003</v>
      </c>
      <c r="D132">
        <v>11.6</v>
      </c>
    </row>
    <row r="133" spans="2:4" x14ac:dyDescent="0.25">
      <c r="B133" s="377">
        <v>43663</v>
      </c>
      <c r="C133">
        <v>57.360000999999997</v>
      </c>
      <c r="D133">
        <v>5.5</v>
      </c>
    </row>
    <row r="134" spans="2:4" x14ac:dyDescent="0.25">
      <c r="B134" s="377">
        <v>43664</v>
      </c>
      <c r="C134">
        <v>57.52</v>
      </c>
      <c r="D134">
        <v>15.8</v>
      </c>
    </row>
    <row r="135" spans="2:4" x14ac:dyDescent="0.25">
      <c r="B135" s="377">
        <v>43665</v>
      </c>
      <c r="C135">
        <v>55.799999</v>
      </c>
      <c r="D135">
        <v>52</v>
      </c>
    </row>
    <row r="136" spans="2:4" x14ac:dyDescent="0.25">
      <c r="B136" s="377">
        <v>43668</v>
      </c>
      <c r="C136">
        <v>53.810001</v>
      </c>
      <c r="D136">
        <v>23.3</v>
      </c>
    </row>
    <row r="137" spans="2:4" x14ac:dyDescent="0.25">
      <c r="B137" s="377">
        <v>43669</v>
      </c>
      <c r="C137">
        <v>52.849997999999999</v>
      </c>
      <c r="D137">
        <v>16.2</v>
      </c>
    </row>
    <row r="138" spans="2:4" x14ac:dyDescent="0.25">
      <c r="B138" s="377">
        <v>43670</v>
      </c>
      <c r="C138">
        <v>53</v>
      </c>
      <c r="D138">
        <v>35</v>
      </c>
    </row>
    <row r="139" spans="2:4" x14ac:dyDescent="0.25">
      <c r="B139" s="377">
        <v>43671</v>
      </c>
      <c r="C139">
        <v>53.060001</v>
      </c>
      <c r="D139">
        <v>16.100000000000001</v>
      </c>
    </row>
    <row r="140" spans="2:4" x14ac:dyDescent="0.25">
      <c r="B140" s="377">
        <v>43672</v>
      </c>
      <c r="C140">
        <v>53.259998000000003</v>
      </c>
      <c r="D140">
        <v>9.6999999999999993</v>
      </c>
    </row>
    <row r="141" spans="2:4" x14ac:dyDescent="0.25">
      <c r="B141" s="377">
        <v>43675</v>
      </c>
      <c r="C141">
        <v>52.889999000000003</v>
      </c>
      <c r="D141">
        <v>29.6</v>
      </c>
    </row>
    <row r="142" spans="2:4" x14ac:dyDescent="0.25">
      <c r="B142" s="377">
        <v>43676</v>
      </c>
      <c r="C142">
        <v>52.349997999999999</v>
      </c>
      <c r="D142">
        <v>17.2</v>
      </c>
    </row>
    <row r="143" spans="2:4" x14ac:dyDescent="0.25">
      <c r="B143" s="377">
        <v>43677</v>
      </c>
      <c r="C143">
        <v>51.259998000000003</v>
      </c>
      <c r="D143">
        <v>6.3</v>
      </c>
    </row>
    <row r="144" spans="2:4" x14ac:dyDescent="0.25">
      <c r="B144" s="377">
        <v>43678</v>
      </c>
      <c r="C144">
        <v>50.5</v>
      </c>
      <c r="D144">
        <v>36.4</v>
      </c>
    </row>
    <row r="145" spans="2:4" x14ac:dyDescent="0.25">
      <c r="B145" s="377">
        <v>43679</v>
      </c>
      <c r="C145">
        <v>50.27</v>
      </c>
      <c r="D145">
        <v>16.899999999999999</v>
      </c>
    </row>
    <row r="146" spans="2:4" x14ac:dyDescent="0.25">
      <c r="B146" s="377">
        <v>43682</v>
      </c>
      <c r="C146">
        <v>49.52</v>
      </c>
      <c r="D146">
        <v>8.1999999999999993</v>
      </c>
    </row>
    <row r="147" spans="2:4" x14ac:dyDescent="0.25">
      <c r="B147" s="377">
        <v>43683</v>
      </c>
      <c r="C147">
        <v>50.540000999999997</v>
      </c>
      <c r="D147">
        <v>8.5</v>
      </c>
    </row>
    <row r="148" spans="2:4" x14ac:dyDescent="0.25">
      <c r="B148" s="377">
        <v>43684</v>
      </c>
      <c r="C148">
        <v>50.360000999999997</v>
      </c>
      <c r="D148">
        <v>21.2</v>
      </c>
    </row>
    <row r="149" spans="2:4" x14ac:dyDescent="0.25">
      <c r="B149" s="377">
        <v>43685</v>
      </c>
      <c r="C149">
        <v>52.450001</v>
      </c>
      <c r="D149">
        <v>20.5</v>
      </c>
    </row>
    <row r="150" spans="2:4" x14ac:dyDescent="0.25">
      <c r="B150" s="377">
        <v>43686</v>
      </c>
      <c r="C150">
        <v>51.029998999999997</v>
      </c>
      <c r="D150">
        <v>21.5</v>
      </c>
    </row>
    <row r="151" spans="2:4" x14ac:dyDescent="0.25">
      <c r="B151" s="377">
        <v>43689</v>
      </c>
      <c r="C151">
        <v>50.599997999999999</v>
      </c>
      <c r="D151">
        <v>15.3</v>
      </c>
    </row>
    <row r="152" spans="2:4" x14ac:dyDescent="0.25">
      <c r="B152" s="377">
        <v>43690</v>
      </c>
      <c r="C152">
        <v>50.009998000000003</v>
      </c>
      <c r="D152">
        <v>13.9</v>
      </c>
    </row>
    <row r="153" spans="2:4" x14ac:dyDescent="0.25">
      <c r="B153" s="377">
        <v>43691</v>
      </c>
      <c r="C153">
        <v>49.5</v>
      </c>
      <c r="D153">
        <v>102.1</v>
      </c>
    </row>
    <row r="154" spans="2:4" x14ac:dyDescent="0.25">
      <c r="B154" s="377">
        <v>43692</v>
      </c>
      <c r="C154">
        <v>49.619999</v>
      </c>
      <c r="D154">
        <v>32.6</v>
      </c>
    </row>
    <row r="155" spans="2:4" x14ac:dyDescent="0.25">
      <c r="B155" s="377">
        <v>43693</v>
      </c>
      <c r="C155">
        <v>49.060001</v>
      </c>
      <c r="D155">
        <v>15.4</v>
      </c>
    </row>
    <row r="156" spans="2:4" x14ac:dyDescent="0.25">
      <c r="B156" s="377">
        <v>43696</v>
      </c>
      <c r="C156">
        <v>49.84</v>
      </c>
      <c r="D156">
        <v>10.199999999999999</v>
      </c>
    </row>
    <row r="157" spans="2:4" x14ac:dyDescent="0.25">
      <c r="B157" s="377">
        <v>43697</v>
      </c>
      <c r="C157">
        <v>49.599997999999999</v>
      </c>
      <c r="D157">
        <v>4.5</v>
      </c>
    </row>
    <row r="158" spans="2:4" x14ac:dyDescent="0.25">
      <c r="B158" s="377">
        <v>43698</v>
      </c>
      <c r="C158">
        <v>50.07</v>
      </c>
      <c r="D158">
        <v>10.7</v>
      </c>
    </row>
    <row r="159" spans="2:4" x14ac:dyDescent="0.25">
      <c r="B159" s="377">
        <v>43699</v>
      </c>
      <c r="C159">
        <v>49.869999</v>
      </c>
      <c r="D159">
        <v>5.5</v>
      </c>
    </row>
    <row r="160" spans="2:4" x14ac:dyDescent="0.25">
      <c r="B160" s="377">
        <v>43700</v>
      </c>
      <c r="C160">
        <v>49.060001</v>
      </c>
      <c r="D160">
        <v>15.9</v>
      </c>
    </row>
    <row r="161" spans="2:4" x14ac:dyDescent="0.25">
      <c r="B161" s="377">
        <v>43703</v>
      </c>
      <c r="C161">
        <v>49.490001999999997</v>
      </c>
      <c r="D161">
        <v>33.5</v>
      </c>
    </row>
    <row r="162" spans="2:4" x14ac:dyDescent="0.25">
      <c r="B162" s="377">
        <v>43704</v>
      </c>
      <c r="C162">
        <v>50.150002000000001</v>
      </c>
      <c r="D162">
        <v>9.6</v>
      </c>
    </row>
    <row r="163" spans="2:4" x14ac:dyDescent="0.25">
      <c r="B163" s="377">
        <v>43705</v>
      </c>
      <c r="C163">
        <v>50.240001999999997</v>
      </c>
      <c r="D163">
        <v>5.5</v>
      </c>
    </row>
    <row r="164" spans="2:4" x14ac:dyDescent="0.25">
      <c r="B164" s="377">
        <v>43706</v>
      </c>
      <c r="C164">
        <v>50.16</v>
      </c>
      <c r="D164">
        <v>15.3</v>
      </c>
    </row>
    <row r="165" spans="2:4" x14ac:dyDescent="0.25">
      <c r="B165" s="377">
        <v>43707</v>
      </c>
      <c r="C165">
        <v>51.119999</v>
      </c>
      <c r="D165">
        <v>13.7</v>
      </c>
    </row>
    <row r="166" spans="2:4" x14ac:dyDescent="0.25">
      <c r="B166" s="377">
        <v>43711</v>
      </c>
      <c r="C166">
        <v>50.540000999999997</v>
      </c>
      <c r="D166">
        <v>9.9</v>
      </c>
    </row>
    <row r="167" spans="2:4" x14ac:dyDescent="0.25">
      <c r="B167" s="377">
        <v>43712</v>
      </c>
      <c r="C167">
        <v>51.009998000000003</v>
      </c>
      <c r="D167">
        <v>6.1</v>
      </c>
    </row>
    <row r="168" spans="2:4" x14ac:dyDescent="0.25">
      <c r="B168" s="377">
        <v>43713</v>
      </c>
      <c r="C168">
        <v>51.759998000000003</v>
      </c>
      <c r="D168">
        <v>6.4</v>
      </c>
    </row>
    <row r="169" spans="2:4" x14ac:dyDescent="0.25">
      <c r="B169" s="377">
        <v>43714</v>
      </c>
      <c r="C169">
        <v>51.400002000000001</v>
      </c>
      <c r="D169">
        <v>4.9000000000000004</v>
      </c>
    </row>
    <row r="170" spans="2:4" x14ac:dyDescent="0.25">
      <c r="B170" s="377">
        <v>43717</v>
      </c>
      <c r="C170">
        <v>50.450001</v>
      </c>
      <c r="D170">
        <v>6.4</v>
      </c>
    </row>
    <row r="171" spans="2:4" x14ac:dyDescent="0.25">
      <c r="B171" s="377">
        <v>43718</v>
      </c>
      <c r="C171">
        <v>50.68</v>
      </c>
      <c r="D171">
        <v>2.9</v>
      </c>
    </row>
    <row r="172" spans="2:4" x14ac:dyDescent="0.25">
      <c r="B172" s="377">
        <v>43719</v>
      </c>
      <c r="C172">
        <v>51.990001999999997</v>
      </c>
      <c r="D172">
        <v>2.7</v>
      </c>
    </row>
    <row r="173" spans="2:4" x14ac:dyDescent="0.25">
      <c r="B173" s="377">
        <v>43720</v>
      </c>
      <c r="C173">
        <v>52.380001</v>
      </c>
      <c r="D173">
        <v>4.5999999999999996</v>
      </c>
    </row>
    <row r="174" spans="2:4" x14ac:dyDescent="0.25">
      <c r="B174" s="377">
        <v>43721</v>
      </c>
      <c r="C174">
        <v>52.09</v>
      </c>
      <c r="D174">
        <v>16.3</v>
      </c>
    </row>
    <row r="175" spans="2:4" x14ac:dyDescent="0.25">
      <c r="B175" s="377">
        <v>43724</v>
      </c>
      <c r="C175">
        <v>52.990001999999997</v>
      </c>
      <c r="D175">
        <v>95.5</v>
      </c>
    </row>
    <row r="176" spans="2:4" x14ac:dyDescent="0.25">
      <c r="B176" s="377">
        <v>43725</v>
      </c>
      <c r="C176">
        <v>50.25</v>
      </c>
      <c r="D176">
        <v>172.8</v>
      </c>
    </row>
    <row r="177" spans="2:4" x14ac:dyDescent="0.25">
      <c r="B177" s="377">
        <v>43726</v>
      </c>
      <c r="C177">
        <v>49.459999000000003</v>
      </c>
      <c r="D177">
        <v>176.7</v>
      </c>
    </row>
    <row r="178" spans="2:4" x14ac:dyDescent="0.25">
      <c r="B178" s="377">
        <v>43727</v>
      </c>
      <c r="C178">
        <v>50.830002</v>
      </c>
      <c r="D178">
        <v>90.2</v>
      </c>
    </row>
    <row r="179" spans="2:4" x14ac:dyDescent="0.25">
      <c r="B179" s="377">
        <v>43728</v>
      </c>
      <c r="C179">
        <v>51.389999000000003</v>
      </c>
      <c r="D179">
        <v>408.1</v>
      </c>
    </row>
    <row r="180" spans="2:4" x14ac:dyDescent="0.25">
      <c r="B180" s="377">
        <v>43731</v>
      </c>
      <c r="C180">
        <v>50</v>
      </c>
      <c r="D180">
        <v>31.5</v>
      </c>
    </row>
    <row r="181" spans="2:4" x14ac:dyDescent="0.25">
      <c r="B181" s="377">
        <v>43732</v>
      </c>
      <c r="C181">
        <v>49.900002000000001</v>
      </c>
      <c r="D181">
        <v>26.1</v>
      </c>
    </row>
    <row r="182" spans="2:4" x14ac:dyDescent="0.25">
      <c r="B182" s="377">
        <v>43733</v>
      </c>
      <c r="C182">
        <v>49.669998</v>
      </c>
      <c r="D182">
        <v>11.9</v>
      </c>
    </row>
    <row r="183" spans="2:4" x14ac:dyDescent="0.25">
      <c r="B183" s="377">
        <v>43734</v>
      </c>
      <c r="C183">
        <v>49.82</v>
      </c>
      <c r="D183">
        <v>19.3</v>
      </c>
    </row>
    <row r="184" spans="2:4" x14ac:dyDescent="0.25">
      <c r="B184" s="377">
        <v>43735</v>
      </c>
      <c r="C184">
        <v>49.060001</v>
      </c>
      <c r="D184">
        <v>19.2</v>
      </c>
    </row>
    <row r="185" spans="2:4" x14ac:dyDescent="0.25">
      <c r="B185" s="377">
        <v>43738</v>
      </c>
      <c r="C185">
        <v>48.669998</v>
      </c>
      <c r="D185">
        <v>24.5</v>
      </c>
    </row>
    <row r="186" spans="2:4" x14ac:dyDescent="0.25">
      <c r="B186" s="377">
        <v>43739</v>
      </c>
      <c r="C186">
        <v>47.220001000000003</v>
      </c>
      <c r="D186">
        <v>38</v>
      </c>
    </row>
    <row r="187" spans="2:4" x14ac:dyDescent="0.25">
      <c r="B187" s="377">
        <v>43740</v>
      </c>
      <c r="C187">
        <v>46.029998999999997</v>
      </c>
      <c r="D187">
        <v>40.299999999999997</v>
      </c>
    </row>
    <row r="188" spans="2:4" x14ac:dyDescent="0.25">
      <c r="B188" s="377">
        <v>43741</v>
      </c>
      <c r="C188">
        <v>45.66</v>
      </c>
      <c r="D188">
        <v>41.7</v>
      </c>
    </row>
    <row r="189" spans="2:4" x14ac:dyDescent="0.25">
      <c r="B189" s="377">
        <v>43742</v>
      </c>
      <c r="C189">
        <v>45.27</v>
      </c>
      <c r="D189">
        <v>35.200000000000003</v>
      </c>
    </row>
    <row r="190" spans="2:4" x14ac:dyDescent="0.25">
      <c r="B190" s="377">
        <v>43745</v>
      </c>
      <c r="C190">
        <v>45.439999</v>
      </c>
      <c r="D190">
        <v>21.6</v>
      </c>
    </row>
    <row r="191" spans="2:4" x14ac:dyDescent="0.25">
      <c r="B191" s="377">
        <v>43746</v>
      </c>
      <c r="C191">
        <v>44.18</v>
      </c>
      <c r="D191">
        <v>19.5</v>
      </c>
    </row>
    <row r="192" spans="2:4" x14ac:dyDescent="0.25">
      <c r="B192" s="377">
        <v>43747</v>
      </c>
      <c r="C192">
        <v>45.040000999999997</v>
      </c>
      <c r="D192">
        <v>14.2</v>
      </c>
    </row>
    <row r="193" spans="2:4" x14ac:dyDescent="0.25">
      <c r="B193" s="377">
        <v>43748</v>
      </c>
      <c r="C193">
        <v>46</v>
      </c>
      <c r="D193">
        <v>11.7</v>
      </c>
    </row>
    <row r="194" spans="2:4" x14ac:dyDescent="0.25">
      <c r="B194" s="377">
        <v>43749</v>
      </c>
      <c r="C194">
        <v>46.93</v>
      </c>
      <c r="D194">
        <v>21.1</v>
      </c>
    </row>
    <row r="195" spans="2:4" x14ac:dyDescent="0.25">
      <c r="B195" s="377">
        <v>43752</v>
      </c>
      <c r="C195">
        <v>46.740001999999997</v>
      </c>
      <c r="D195">
        <v>13</v>
      </c>
    </row>
    <row r="196" spans="2:4" x14ac:dyDescent="0.25">
      <c r="B196" s="377">
        <v>43753</v>
      </c>
      <c r="C196">
        <v>47.990001999999997</v>
      </c>
      <c r="D196">
        <v>31</v>
      </c>
    </row>
    <row r="197" spans="2:4" x14ac:dyDescent="0.25">
      <c r="B197" s="377">
        <v>43754</v>
      </c>
      <c r="C197">
        <v>47.990001999999997</v>
      </c>
      <c r="D197">
        <v>21.4</v>
      </c>
    </row>
    <row r="198" spans="2:4" x14ac:dyDescent="0.25">
      <c r="B198" s="377">
        <v>43755</v>
      </c>
      <c r="C198">
        <v>48.450001</v>
      </c>
      <c r="D198">
        <v>33</v>
      </c>
    </row>
    <row r="199" spans="2:4" x14ac:dyDescent="0.25">
      <c r="B199" s="377">
        <v>43756</v>
      </c>
      <c r="C199">
        <v>48.57</v>
      </c>
      <c r="D199">
        <v>34.200000000000003</v>
      </c>
    </row>
    <row r="200" spans="2:4" x14ac:dyDescent="0.25">
      <c r="B200" s="377">
        <v>43759</v>
      </c>
      <c r="C200">
        <v>48.790000999999997</v>
      </c>
      <c r="D200">
        <v>14.9</v>
      </c>
    </row>
    <row r="201" spans="2:4" x14ac:dyDescent="0.25">
      <c r="B201" s="377">
        <v>43760</v>
      </c>
      <c r="C201">
        <v>48.959999000000003</v>
      </c>
      <c r="D201">
        <v>20.3</v>
      </c>
    </row>
    <row r="202" spans="2:4" x14ac:dyDescent="0.25">
      <c r="B202" s="377">
        <v>43761</v>
      </c>
      <c r="C202">
        <v>49.599997999999999</v>
      </c>
      <c r="D202">
        <v>65.599999999999994</v>
      </c>
    </row>
    <row r="203" spans="2:4" x14ac:dyDescent="0.25">
      <c r="B203" s="377">
        <v>43762</v>
      </c>
      <c r="C203">
        <v>44.599997999999999</v>
      </c>
      <c r="D203">
        <v>87.7</v>
      </c>
    </row>
    <row r="204" spans="2:4" x14ac:dyDescent="0.25">
      <c r="B204" s="377">
        <v>43763</v>
      </c>
      <c r="C204">
        <v>43.529998999999997</v>
      </c>
      <c r="D204">
        <v>60.1</v>
      </c>
    </row>
    <row r="205" spans="2:4" x14ac:dyDescent="0.25">
      <c r="B205" s="377">
        <v>43766</v>
      </c>
      <c r="C205">
        <v>44.299999</v>
      </c>
      <c r="D205">
        <v>27.6</v>
      </c>
    </row>
    <row r="206" spans="2:4" x14ac:dyDescent="0.25">
      <c r="B206" s="377">
        <v>43767</v>
      </c>
      <c r="C206">
        <v>44.110000999999997</v>
      </c>
      <c r="D206">
        <v>72.099999999999994</v>
      </c>
    </row>
    <row r="207" spans="2:4" x14ac:dyDescent="0.25">
      <c r="B207" s="377">
        <v>43768</v>
      </c>
      <c r="C207">
        <v>44.419998</v>
      </c>
      <c r="D207">
        <v>16.5</v>
      </c>
    </row>
    <row r="208" spans="2:4" x14ac:dyDescent="0.25">
      <c r="B208" s="377">
        <v>43769</v>
      </c>
      <c r="C208">
        <v>45.169998</v>
      </c>
      <c r="D208">
        <v>30.4</v>
      </c>
    </row>
    <row r="209" spans="2:4" x14ac:dyDescent="0.25">
      <c r="B209" s="377">
        <v>43770</v>
      </c>
      <c r="C209">
        <v>45.720001000000003</v>
      </c>
      <c r="D209">
        <v>21.2</v>
      </c>
    </row>
    <row r="210" spans="2:4" x14ac:dyDescent="0.25">
      <c r="B210" s="377">
        <v>43773</v>
      </c>
      <c r="C210">
        <v>47.200001</v>
      </c>
      <c r="D210">
        <v>62.9</v>
      </c>
    </row>
    <row r="211" spans="2:4" x14ac:dyDescent="0.25">
      <c r="B211" s="377">
        <v>43774</v>
      </c>
      <c r="C211">
        <v>44.599997999999999</v>
      </c>
      <c r="D211">
        <v>37</v>
      </c>
    </row>
    <row r="212" spans="2:4" x14ac:dyDescent="0.25">
      <c r="B212" s="377">
        <v>43775</v>
      </c>
      <c r="C212">
        <v>44.560001</v>
      </c>
      <c r="D212">
        <v>19.399999999999999</v>
      </c>
    </row>
    <row r="213" spans="2:4" x14ac:dyDescent="0.25">
      <c r="B213" s="377">
        <v>43776</v>
      </c>
      <c r="C213">
        <v>44.330002</v>
      </c>
      <c r="D213">
        <v>19</v>
      </c>
    </row>
    <row r="214" spans="2:4" x14ac:dyDescent="0.25">
      <c r="B214" s="377">
        <v>43777</v>
      </c>
      <c r="C214">
        <v>44.27</v>
      </c>
      <c r="D214">
        <v>25.4</v>
      </c>
    </row>
    <row r="215" spans="2:4" x14ac:dyDescent="0.25">
      <c r="B215" s="377">
        <v>43780</v>
      </c>
      <c r="C215">
        <v>43.169998</v>
      </c>
      <c r="D215">
        <v>34.200000000000003</v>
      </c>
    </row>
    <row r="216" spans="2:4" x14ac:dyDescent="0.25">
      <c r="B216" s="377">
        <v>43781</v>
      </c>
      <c r="C216">
        <v>42.009998000000003</v>
      </c>
      <c r="D216">
        <v>36.5</v>
      </c>
    </row>
    <row r="217" spans="2:4" x14ac:dyDescent="0.25">
      <c r="B217" s="377">
        <v>43782</v>
      </c>
      <c r="C217">
        <v>42.59</v>
      </c>
      <c r="D217">
        <v>75</v>
      </c>
    </row>
    <row r="218" spans="2:4" x14ac:dyDescent="0.25">
      <c r="B218" s="377">
        <v>43783</v>
      </c>
      <c r="C218">
        <v>42</v>
      </c>
      <c r="D218">
        <v>39.1</v>
      </c>
    </row>
    <row r="219" spans="2:4" x14ac:dyDescent="0.25">
      <c r="B219" s="377">
        <v>43784</v>
      </c>
      <c r="C219">
        <v>41.07</v>
      </c>
      <c r="D219">
        <v>41.6</v>
      </c>
    </row>
    <row r="220" spans="2:4" x14ac:dyDescent="0.25">
      <c r="B220" s="377">
        <v>43787</v>
      </c>
      <c r="C220">
        <v>41.700001</v>
      </c>
      <c r="D220">
        <v>39.5</v>
      </c>
    </row>
    <row r="221" spans="2:4" x14ac:dyDescent="0.25">
      <c r="B221" s="377">
        <v>43788</v>
      </c>
      <c r="C221">
        <v>43.040000999999997</v>
      </c>
      <c r="D221">
        <v>62.3</v>
      </c>
    </row>
    <row r="222" spans="2:4" x14ac:dyDescent="0.25">
      <c r="B222" s="377">
        <v>43789</v>
      </c>
      <c r="C222">
        <v>44.02</v>
      </c>
      <c r="D222">
        <v>61.8</v>
      </c>
    </row>
    <row r="223" spans="2:4" x14ac:dyDescent="0.25">
      <c r="B223" s="377">
        <v>43790</v>
      </c>
      <c r="C223">
        <v>44.669998</v>
      </c>
      <c r="D223">
        <v>40.1</v>
      </c>
    </row>
    <row r="224" spans="2:4" x14ac:dyDescent="0.25">
      <c r="B224" s="377">
        <v>43791</v>
      </c>
      <c r="C224">
        <v>44.57</v>
      </c>
      <c r="D224">
        <v>19.899999999999999</v>
      </c>
    </row>
    <row r="225" spans="2:4" x14ac:dyDescent="0.25">
      <c r="B225" s="377">
        <v>43794</v>
      </c>
      <c r="C225">
        <v>45.040000999999997</v>
      </c>
      <c r="D225">
        <v>17.600000000000001</v>
      </c>
    </row>
    <row r="226" spans="2:4" x14ac:dyDescent="0.25">
      <c r="B226" s="377">
        <v>43795</v>
      </c>
      <c r="C226">
        <v>43.970001000000003</v>
      </c>
      <c r="D226">
        <v>16</v>
      </c>
    </row>
    <row r="227" spans="2:4" x14ac:dyDescent="0.25">
      <c r="B227" s="377">
        <v>43796</v>
      </c>
      <c r="C227">
        <v>43.080002</v>
      </c>
      <c r="D227">
        <v>59.7</v>
      </c>
    </row>
    <row r="228" spans="2:4" x14ac:dyDescent="0.25">
      <c r="B228" s="377">
        <v>43798</v>
      </c>
      <c r="C228">
        <v>44.810001</v>
      </c>
      <c r="D228">
        <v>65.400000000000006</v>
      </c>
    </row>
    <row r="229" spans="2:4" x14ac:dyDescent="0.25">
      <c r="B229" s="377">
        <v>43801</v>
      </c>
      <c r="C229">
        <v>45.91</v>
      </c>
      <c r="D229">
        <v>64.900000000000006</v>
      </c>
    </row>
    <row r="230" spans="2:4" x14ac:dyDescent="0.25">
      <c r="B230" s="377">
        <v>43802</v>
      </c>
      <c r="C230">
        <v>44.549999</v>
      </c>
      <c r="D230">
        <v>35.4</v>
      </c>
    </row>
    <row r="231" spans="2:4" x14ac:dyDescent="0.25">
      <c r="B231" s="377">
        <v>43803</v>
      </c>
      <c r="C231">
        <v>46.060001</v>
      </c>
      <c r="D231">
        <v>138.4</v>
      </c>
    </row>
    <row r="232" spans="2:4" x14ac:dyDescent="0.25">
      <c r="B232" s="377">
        <v>43804</v>
      </c>
      <c r="C232">
        <v>46.950001</v>
      </c>
      <c r="D232">
        <v>56</v>
      </c>
    </row>
    <row r="233" spans="2:4" x14ac:dyDescent="0.25">
      <c r="B233" s="377">
        <v>43805</v>
      </c>
      <c r="C233">
        <v>47.25</v>
      </c>
      <c r="D233">
        <v>39.6</v>
      </c>
    </row>
    <row r="234" spans="2:4" x14ac:dyDescent="0.25">
      <c r="B234" s="377">
        <v>43808</v>
      </c>
      <c r="C234">
        <v>45.77</v>
      </c>
      <c r="D234">
        <v>47.1</v>
      </c>
    </row>
    <row r="235" spans="2:4" x14ac:dyDescent="0.25">
      <c r="B235" s="377">
        <v>43809</v>
      </c>
      <c r="C235">
        <v>45.82</v>
      </c>
      <c r="D235">
        <v>37.5</v>
      </c>
    </row>
    <row r="236" spans="2:4" x14ac:dyDescent="0.25">
      <c r="B236" s="377">
        <v>43810</v>
      </c>
      <c r="C236">
        <v>46.43</v>
      </c>
      <c r="D236">
        <v>27.1</v>
      </c>
    </row>
    <row r="237" spans="2:4" x14ac:dyDescent="0.25">
      <c r="B237" s="377">
        <v>43811</v>
      </c>
      <c r="C237">
        <v>46.25</v>
      </c>
      <c r="D237">
        <v>50.9</v>
      </c>
    </row>
    <row r="238" spans="2:4" x14ac:dyDescent="0.25">
      <c r="B238" s="377">
        <v>43812</v>
      </c>
      <c r="C238">
        <v>45.990001999999997</v>
      </c>
      <c r="D238">
        <v>61</v>
      </c>
    </row>
    <row r="239" spans="2:4" x14ac:dyDescent="0.25">
      <c r="B239" s="377">
        <v>43815</v>
      </c>
      <c r="C239">
        <v>47.220001000000003</v>
      </c>
      <c r="D239">
        <v>61</v>
      </c>
    </row>
    <row r="240" spans="2:4" x14ac:dyDescent="0.25">
      <c r="B240" s="377">
        <v>43816</v>
      </c>
      <c r="C240">
        <v>47.919998</v>
      </c>
      <c r="D240">
        <v>36.1</v>
      </c>
    </row>
    <row r="241" spans="2:4" x14ac:dyDescent="0.25">
      <c r="B241" s="377">
        <v>43817</v>
      </c>
      <c r="C241">
        <v>48.139999000000003</v>
      </c>
      <c r="D241">
        <v>65.7</v>
      </c>
    </row>
    <row r="242" spans="2:4" x14ac:dyDescent="0.25">
      <c r="B242" s="377">
        <v>43818</v>
      </c>
      <c r="C242">
        <v>48.849997999999999</v>
      </c>
      <c r="D242">
        <v>373.6</v>
      </c>
    </row>
    <row r="243" spans="2:4" x14ac:dyDescent="0.25">
      <c r="B243" s="377">
        <v>43819</v>
      </c>
      <c r="C243">
        <v>49.419998</v>
      </c>
      <c r="D243">
        <v>207</v>
      </c>
    </row>
    <row r="244" spans="2:4" x14ac:dyDescent="0.25">
      <c r="B244" s="377">
        <v>43822</v>
      </c>
      <c r="C244">
        <v>48.400002000000001</v>
      </c>
      <c r="D244">
        <v>44.5</v>
      </c>
    </row>
    <row r="245" spans="2:4" x14ac:dyDescent="0.25">
      <c r="B245" s="377">
        <v>43823</v>
      </c>
      <c r="C245">
        <v>48.82</v>
      </c>
      <c r="D245">
        <v>14.3</v>
      </c>
    </row>
    <row r="246" spans="2:4" x14ac:dyDescent="0.25">
      <c r="B246" s="377">
        <v>43825</v>
      </c>
      <c r="C246">
        <v>49</v>
      </c>
      <c r="D246">
        <v>30.9</v>
      </c>
    </row>
    <row r="247" spans="2:4" x14ac:dyDescent="0.25">
      <c r="B247" s="377">
        <v>43826</v>
      </c>
      <c r="C247">
        <v>48.23</v>
      </c>
      <c r="D247">
        <v>59.3</v>
      </c>
    </row>
    <row r="248" spans="2:4" x14ac:dyDescent="0.25">
      <c r="B248" s="377">
        <v>43829</v>
      </c>
      <c r="C248">
        <v>48.540000999999997</v>
      </c>
      <c r="D248">
        <v>53.9</v>
      </c>
    </row>
    <row r="249" spans="2:4" x14ac:dyDescent="0.25">
      <c r="B249" s="377">
        <v>43830</v>
      </c>
      <c r="C249">
        <v>48.23</v>
      </c>
      <c r="D249">
        <v>31</v>
      </c>
    </row>
    <row r="250" spans="2:4" x14ac:dyDescent="0.25">
      <c r="B250" s="377">
        <v>43832</v>
      </c>
      <c r="C250">
        <v>48.630001</v>
      </c>
      <c r="D250">
        <v>37.700000000000003</v>
      </c>
    </row>
    <row r="251" spans="2:4" x14ac:dyDescent="0.25">
      <c r="B251" s="377">
        <v>43833</v>
      </c>
      <c r="C251">
        <v>48</v>
      </c>
      <c r="D251">
        <v>47.9</v>
      </c>
    </row>
    <row r="252" spans="2:4" x14ac:dyDescent="0.25">
      <c r="B252" s="377">
        <v>43836</v>
      </c>
      <c r="C252">
        <v>47.939999</v>
      </c>
      <c r="D252">
        <v>96.9</v>
      </c>
    </row>
    <row r="253" spans="2:4" x14ac:dyDescent="0.25">
      <c r="B253" s="377">
        <v>43837</v>
      </c>
      <c r="C253">
        <v>47.279998999999997</v>
      </c>
      <c r="D253">
        <v>46.6</v>
      </c>
    </row>
    <row r="254" spans="2:4" x14ac:dyDescent="0.25">
      <c r="B254" s="377">
        <v>43838</v>
      </c>
      <c r="C254">
        <v>47.59</v>
      </c>
      <c r="D254">
        <v>50.4</v>
      </c>
    </row>
    <row r="255" spans="2:4" x14ac:dyDescent="0.25">
      <c r="B255" s="377">
        <v>43839</v>
      </c>
      <c r="C255">
        <v>46.869999</v>
      </c>
      <c r="D255">
        <v>29.2</v>
      </c>
    </row>
    <row r="256" spans="2:4" x14ac:dyDescent="0.25">
      <c r="B256" s="377">
        <v>43840</v>
      </c>
      <c r="C256">
        <v>49.389999000000003</v>
      </c>
      <c r="D256">
        <v>52.6</v>
      </c>
    </row>
    <row r="257" spans="2:4" x14ac:dyDescent="0.25">
      <c r="B257" s="377">
        <v>43843</v>
      </c>
      <c r="C257">
        <v>47.310001</v>
      </c>
      <c r="D257">
        <v>50.4</v>
      </c>
    </row>
    <row r="258" spans="2:4" x14ac:dyDescent="0.25">
      <c r="B258" s="377">
        <v>43844</v>
      </c>
      <c r="C258">
        <v>46.689999</v>
      </c>
      <c r="D258">
        <v>60.7</v>
      </c>
    </row>
    <row r="259" spans="2:4" x14ac:dyDescent="0.25">
      <c r="B259" s="377">
        <v>43845</v>
      </c>
      <c r="C259">
        <v>46.299999</v>
      </c>
      <c r="D259">
        <v>20.5</v>
      </c>
    </row>
    <row r="260" spans="2:4" x14ac:dyDescent="0.25">
      <c r="B260" s="377">
        <v>43846</v>
      </c>
      <c r="C260">
        <v>47.68</v>
      </c>
      <c r="D260">
        <v>40.299999999999997</v>
      </c>
    </row>
    <row r="261" spans="2:4" x14ac:dyDescent="0.25">
      <c r="B261" s="377">
        <v>43847</v>
      </c>
      <c r="C261">
        <v>48.389999000000003</v>
      </c>
      <c r="D261">
        <v>50.9</v>
      </c>
    </row>
    <row r="262" spans="2:4" x14ac:dyDescent="0.25">
      <c r="B262" s="377">
        <v>43851</v>
      </c>
      <c r="C262">
        <v>48.860000999999997</v>
      </c>
      <c r="D262">
        <v>23.7</v>
      </c>
    </row>
    <row r="263" spans="2:4" x14ac:dyDescent="0.25">
      <c r="B263" s="377">
        <v>43852</v>
      </c>
      <c r="C263">
        <v>48.490001999999997</v>
      </c>
      <c r="D263">
        <v>23.3</v>
      </c>
    </row>
    <row r="264" spans="2:4" x14ac:dyDescent="0.25">
      <c r="B264" s="377">
        <v>43853</v>
      </c>
      <c r="C264">
        <v>48.279998999999997</v>
      </c>
      <c r="D264">
        <v>26.2</v>
      </c>
    </row>
    <row r="265" spans="2:4" x14ac:dyDescent="0.25">
      <c r="B265" s="377">
        <v>43854</v>
      </c>
      <c r="C265">
        <v>46.75</v>
      </c>
      <c r="D265">
        <v>39.799999999999997</v>
      </c>
    </row>
    <row r="266" spans="2:4" x14ac:dyDescent="0.25">
      <c r="B266" s="377">
        <v>43857</v>
      </c>
      <c r="C266">
        <v>46.200001</v>
      </c>
      <c r="D266">
        <v>30.9</v>
      </c>
    </row>
    <row r="267" spans="2:4" x14ac:dyDescent="0.25">
      <c r="B267" s="377">
        <v>43858</v>
      </c>
      <c r="C267">
        <v>46.610000999999997</v>
      </c>
      <c r="D267">
        <v>10.1</v>
      </c>
    </row>
    <row r="268" spans="2:4" x14ac:dyDescent="0.25">
      <c r="B268" s="377">
        <v>43859</v>
      </c>
      <c r="C268">
        <v>46.68</v>
      </c>
      <c r="D268">
        <v>43.2</v>
      </c>
    </row>
    <row r="269" spans="2:4" x14ac:dyDescent="0.25">
      <c r="B269" s="377">
        <v>43860</v>
      </c>
      <c r="C269">
        <v>47.139999000000003</v>
      </c>
      <c r="D269">
        <v>31.1</v>
      </c>
    </row>
    <row r="270" spans="2:4" x14ac:dyDescent="0.25">
      <c r="B270" s="377">
        <v>43861</v>
      </c>
      <c r="C270">
        <v>46.779998999999997</v>
      </c>
      <c r="D270">
        <v>30.8</v>
      </c>
    </row>
    <row r="271" spans="2:4" x14ac:dyDescent="0.25">
      <c r="B271" s="377">
        <v>43864</v>
      </c>
      <c r="C271">
        <v>46.849997999999999</v>
      </c>
      <c r="D271">
        <v>31.7</v>
      </c>
    </row>
    <row r="272" spans="2:4" x14ac:dyDescent="0.25">
      <c r="B272" s="377">
        <v>43865</v>
      </c>
      <c r="C272">
        <v>47.32</v>
      </c>
      <c r="D272">
        <v>18.600000000000001</v>
      </c>
    </row>
    <row r="273" spans="2:4" x14ac:dyDescent="0.25">
      <c r="B273" s="377">
        <v>43866</v>
      </c>
      <c r="C273">
        <v>47.990001999999997</v>
      </c>
      <c r="D273">
        <v>54.1</v>
      </c>
    </row>
    <row r="274" spans="2:4" x14ac:dyDescent="0.25">
      <c r="B274" s="377">
        <v>43867</v>
      </c>
      <c r="C274">
        <v>47.400002000000001</v>
      </c>
      <c r="D274">
        <v>45</v>
      </c>
    </row>
    <row r="275" spans="2:4" x14ac:dyDescent="0.25">
      <c r="B275" s="377">
        <v>43868</v>
      </c>
      <c r="C275">
        <v>46.139999000000003</v>
      </c>
      <c r="D275">
        <v>50.5</v>
      </c>
    </row>
    <row r="276" spans="2:4" x14ac:dyDescent="0.25">
      <c r="B276" s="377">
        <v>43871</v>
      </c>
      <c r="C276">
        <v>45.759998000000003</v>
      </c>
      <c r="D276">
        <v>46.5</v>
      </c>
    </row>
    <row r="277" spans="2:4" x14ac:dyDescent="0.25">
      <c r="B277" s="377">
        <v>43872</v>
      </c>
      <c r="C277">
        <v>46.939999</v>
      </c>
      <c r="D277">
        <v>28.4</v>
      </c>
    </row>
    <row r="278" spans="2:4" x14ac:dyDescent="0.25">
      <c r="B278" s="377">
        <v>43873</v>
      </c>
      <c r="C278">
        <v>47.419998</v>
      </c>
      <c r="D278">
        <v>26.5</v>
      </c>
    </row>
    <row r="279" spans="2:4" x14ac:dyDescent="0.25">
      <c r="B279" s="377">
        <v>43874</v>
      </c>
      <c r="C279">
        <v>47.139999000000003</v>
      </c>
      <c r="D279">
        <v>13.5</v>
      </c>
    </row>
    <row r="280" spans="2:4" x14ac:dyDescent="0.25">
      <c r="B280" s="377">
        <v>43875</v>
      </c>
      <c r="C280">
        <v>46.639999000000003</v>
      </c>
      <c r="D280">
        <v>12.2</v>
      </c>
    </row>
    <row r="281" spans="2:4" x14ac:dyDescent="0.25">
      <c r="B281" s="377">
        <v>43879</v>
      </c>
      <c r="C281">
        <v>46.654998999999997</v>
      </c>
      <c r="D281">
        <v>16.5</v>
      </c>
    </row>
    <row r="282" spans="2:4" x14ac:dyDescent="0.25">
      <c r="B282" s="377">
        <v>43880</v>
      </c>
      <c r="C282">
        <v>47.380001</v>
      </c>
      <c r="D282">
        <v>19.100000000000001</v>
      </c>
    </row>
    <row r="283" spans="2:4" x14ac:dyDescent="0.25">
      <c r="B283" s="377">
        <v>43881</v>
      </c>
      <c r="C283">
        <v>46.200001</v>
      </c>
      <c r="D283">
        <v>38.299999999999997</v>
      </c>
    </row>
    <row r="284" spans="2:4" x14ac:dyDescent="0.25">
      <c r="B284" s="377">
        <v>43882</v>
      </c>
      <c r="C284">
        <v>46.369999</v>
      </c>
      <c r="D284">
        <v>24.6</v>
      </c>
    </row>
    <row r="285" spans="2:4" x14ac:dyDescent="0.25">
      <c r="B285" s="377">
        <v>43885</v>
      </c>
      <c r="C285">
        <v>44.259998000000003</v>
      </c>
      <c r="D285">
        <v>41.2</v>
      </c>
    </row>
    <row r="286" spans="2:4" x14ac:dyDescent="0.25">
      <c r="B286" s="377">
        <v>43886</v>
      </c>
      <c r="C286">
        <v>44.779998999999997</v>
      </c>
      <c r="D286">
        <v>93.6</v>
      </c>
    </row>
    <row r="287" spans="2:4" x14ac:dyDescent="0.25">
      <c r="B287" s="377">
        <v>43887</v>
      </c>
      <c r="C287">
        <v>47.490001999999997</v>
      </c>
      <c r="D287">
        <v>75.099999999999994</v>
      </c>
    </row>
    <row r="288" spans="2:4" x14ac:dyDescent="0.25">
      <c r="B288" s="377">
        <v>43888</v>
      </c>
      <c r="C288">
        <v>45.470001000000003</v>
      </c>
      <c r="D288">
        <v>74.2</v>
      </c>
    </row>
    <row r="289" spans="2:4" x14ac:dyDescent="0.25">
      <c r="B289" s="377">
        <v>43889</v>
      </c>
      <c r="C289">
        <v>45.509998000000003</v>
      </c>
      <c r="D289">
        <v>83.4</v>
      </c>
    </row>
    <row r="290" spans="2:4" x14ac:dyDescent="0.25">
      <c r="B290" s="377">
        <v>43892</v>
      </c>
      <c r="C290">
        <v>45.720001000000003</v>
      </c>
      <c r="D290">
        <v>58.3</v>
      </c>
    </row>
    <row r="291" spans="2:4" x14ac:dyDescent="0.25">
      <c r="B291" s="377">
        <v>43893</v>
      </c>
      <c r="C291">
        <v>45.09</v>
      </c>
      <c r="D291">
        <v>116.2</v>
      </c>
    </row>
    <row r="292" spans="2:4" x14ac:dyDescent="0.25">
      <c r="B292" s="377">
        <v>43894</v>
      </c>
      <c r="C292">
        <v>45.490001999999997</v>
      </c>
      <c r="D292">
        <v>37.200000000000003</v>
      </c>
    </row>
    <row r="293" spans="2:4" x14ac:dyDescent="0.25">
      <c r="B293" s="377">
        <v>43895</v>
      </c>
      <c r="C293">
        <v>45.32</v>
      </c>
      <c r="D293">
        <v>44</v>
      </c>
    </row>
    <row r="294" spans="2:4" x14ac:dyDescent="0.25">
      <c r="B294" s="377">
        <v>43896</v>
      </c>
      <c r="C294">
        <v>44.869999</v>
      </c>
      <c r="D294">
        <v>63.3</v>
      </c>
    </row>
    <row r="295" spans="2:4" x14ac:dyDescent="0.25">
      <c r="B295" s="377">
        <v>43899</v>
      </c>
      <c r="C295">
        <v>42.240001999999997</v>
      </c>
      <c r="D295">
        <v>66.3</v>
      </c>
    </row>
    <row r="296" spans="2:4" x14ac:dyDescent="0.25">
      <c r="B296" s="377">
        <v>43900</v>
      </c>
      <c r="C296">
        <v>40.32</v>
      </c>
      <c r="D296">
        <v>99.9</v>
      </c>
    </row>
    <row r="297" spans="2:4" x14ac:dyDescent="0.25">
      <c r="B297" s="377">
        <v>43901</v>
      </c>
      <c r="C297">
        <v>37.200001</v>
      </c>
      <c r="D297">
        <v>99.8</v>
      </c>
    </row>
    <row r="298" spans="2:4" x14ac:dyDescent="0.25">
      <c r="B298" s="377">
        <v>43902</v>
      </c>
      <c r="C298">
        <v>31.4</v>
      </c>
      <c r="D298">
        <v>120</v>
      </c>
    </row>
    <row r="299" spans="2:4" x14ac:dyDescent="0.25">
      <c r="B299" s="377">
        <v>43903</v>
      </c>
      <c r="C299">
        <v>28.870000999999998</v>
      </c>
      <c r="D299">
        <v>179.7</v>
      </c>
    </row>
    <row r="300" spans="2:4" x14ac:dyDescent="0.25">
      <c r="B300" s="377">
        <v>43906</v>
      </c>
      <c r="C300">
        <v>24.51</v>
      </c>
      <c r="D300">
        <v>149.9</v>
      </c>
    </row>
    <row r="301" spans="2:4" x14ac:dyDescent="0.25">
      <c r="B301" s="377">
        <v>43907</v>
      </c>
      <c r="C301">
        <v>24.51</v>
      </c>
      <c r="D301">
        <v>88.6</v>
      </c>
    </row>
    <row r="302" spans="2:4" x14ac:dyDescent="0.25">
      <c r="B302" s="377">
        <v>43908</v>
      </c>
      <c r="C302">
        <v>22.5</v>
      </c>
      <c r="D302">
        <v>106.5</v>
      </c>
    </row>
    <row r="303" spans="2:4" x14ac:dyDescent="0.25">
      <c r="B303" s="377">
        <v>43909</v>
      </c>
      <c r="C303">
        <v>24.08</v>
      </c>
      <c r="D303">
        <v>186.4</v>
      </c>
    </row>
    <row r="304" spans="2:4" x14ac:dyDescent="0.25">
      <c r="B304" s="377">
        <v>43910</v>
      </c>
      <c r="C304">
        <v>22.860001</v>
      </c>
      <c r="D304">
        <v>165.4</v>
      </c>
    </row>
    <row r="305" spans="2:4" x14ac:dyDescent="0.25">
      <c r="B305" s="377">
        <v>43913</v>
      </c>
      <c r="C305">
        <v>23.610001</v>
      </c>
      <c r="D305">
        <v>134.6</v>
      </c>
    </row>
    <row r="306" spans="2:4" x14ac:dyDescent="0.25">
      <c r="B306" s="377">
        <v>43914</v>
      </c>
      <c r="C306">
        <v>25.530000999999999</v>
      </c>
      <c r="D306">
        <v>216.7</v>
      </c>
    </row>
    <row r="307" spans="2:4" x14ac:dyDescent="0.25">
      <c r="B307" s="377">
        <v>43915</v>
      </c>
      <c r="C307">
        <v>27.799999</v>
      </c>
      <c r="D307">
        <v>130.69999999999999</v>
      </c>
    </row>
    <row r="308" spans="2:4" x14ac:dyDescent="0.25">
      <c r="B308" s="377">
        <v>43916</v>
      </c>
      <c r="C308">
        <v>29.700001</v>
      </c>
      <c r="D308">
        <v>231.3</v>
      </c>
    </row>
    <row r="309" spans="2:4" x14ac:dyDescent="0.25">
      <c r="B309" s="377">
        <v>43917</v>
      </c>
      <c r="C309">
        <v>28.610001</v>
      </c>
      <c r="D309">
        <v>76.2</v>
      </c>
    </row>
    <row r="310" spans="2:4" x14ac:dyDescent="0.25">
      <c r="B310" s="377">
        <v>43920</v>
      </c>
      <c r="C310">
        <v>27.559999000000001</v>
      </c>
      <c r="D310">
        <v>157.30000000000001</v>
      </c>
    </row>
    <row r="311" spans="2:4" x14ac:dyDescent="0.25">
      <c r="B311" s="377">
        <v>43921</v>
      </c>
      <c r="C311">
        <v>28.4</v>
      </c>
      <c r="D311">
        <v>56.7</v>
      </c>
    </row>
    <row r="312" spans="2:4" x14ac:dyDescent="0.25">
      <c r="B312" s="377">
        <v>43922</v>
      </c>
      <c r="C312">
        <v>27.440000999999999</v>
      </c>
      <c r="D312">
        <v>74.3</v>
      </c>
    </row>
    <row r="313" spans="2:4" x14ac:dyDescent="0.25">
      <c r="B313" s="377">
        <v>43923</v>
      </c>
      <c r="C313">
        <v>26.889999</v>
      </c>
      <c r="D313">
        <v>79.3</v>
      </c>
    </row>
    <row r="314" spans="2:4" x14ac:dyDescent="0.25">
      <c r="B314" s="377">
        <v>43924</v>
      </c>
      <c r="C314">
        <v>27.809999000000001</v>
      </c>
      <c r="D314">
        <v>81.400000000000006</v>
      </c>
    </row>
    <row r="315" spans="2:4" x14ac:dyDescent="0.25">
      <c r="B315" s="377">
        <v>43927</v>
      </c>
      <c r="C315">
        <v>28.299999</v>
      </c>
      <c r="D315">
        <v>47.8</v>
      </c>
    </row>
    <row r="316" spans="2:4" x14ac:dyDescent="0.25">
      <c r="B316" s="377">
        <v>43928</v>
      </c>
      <c r="C316">
        <v>29.32</v>
      </c>
      <c r="D316">
        <v>104.3</v>
      </c>
    </row>
    <row r="317" spans="2:4" x14ac:dyDescent="0.25">
      <c r="B317" s="377">
        <v>43929</v>
      </c>
      <c r="C317">
        <v>28.799999</v>
      </c>
      <c r="D317">
        <v>74.400000000000006</v>
      </c>
    </row>
    <row r="318" spans="2:4" x14ac:dyDescent="0.25">
      <c r="B318" s="377">
        <v>43930</v>
      </c>
      <c r="C318">
        <v>30.559999000000001</v>
      </c>
      <c r="D318">
        <v>55.8</v>
      </c>
    </row>
    <row r="319" spans="2:4" x14ac:dyDescent="0.25">
      <c r="B319" s="377">
        <v>43934</v>
      </c>
      <c r="C319">
        <v>30.219999000000001</v>
      </c>
      <c r="D319">
        <v>30.4</v>
      </c>
    </row>
    <row r="320" spans="2:4" x14ac:dyDescent="0.25">
      <c r="B320" s="377">
        <v>43935</v>
      </c>
      <c r="C320">
        <v>30.68</v>
      </c>
      <c r="D320">
        <v>107.7</v>
      </c>
    </row>
    <row r="321" spans="2:4" x14ac:dyDescent="0.25">
      <c r="B321" s="377">
        <v>43936</v>
      </c>
      <c r="C321">
        <v>29.190000999999999</v>
      </c>
      <c r="D321">
        <v>221.2</v>
      </c>
    </row>
    <row r="322" spans="2:4" x14ac:dyDescent="0.25">
      <c r="B322" s="377">
        <v>43937</v>
      </c>
      <c r="C322">
        <v>29.110001</v>
      </c>
      <c r="D322">
        <v>127.9</v>
      </c>
    </row>
    <row r="323" spans="2:4" x14ac:dyDescent="0.25">
      <c r="B323" s="377">
        <v>43938</v>
      </c>
      <c r="C323">
        <v>29.02</v>
      </c>
      <c r="D323">
        <v>167.8</v>
      </c>
    </row>
    <row r="324" spans="2:4" x14ac:dyDescent="0.25">
      <c r="B324" s="377">
        <v>43941</v>
      </c>
      <c r="C324">
        <v>28.16</v>
      </c>
      <c r="D324">
        <v>146.6</v>
      </c>
    </row>
    <row r="325" spans="2:4" x14ac:dyDescent="0.25">
      <c r="B325" s="377">
        <v>43942</v>
      </c>
      <c r="C325">
        <v>26.15</v>
      </c>
      <c r="D325">
        <v>62</v>
      </c>
    </row>
    <row r="326" spans="2:4" x14ac:dyDescent="0.25">
      <c r="B326" s="377">
        <v>43943</v>
      </c>
      <c r="C326">
        <v>25.91</v>
      </c>
      <c r="D326">
        <v>41.1</v>
      </c>
    </row>
    <row r="327" spans="2:4" x14ac:dyDescent="0.25">
      <c r="B327" s="377">
        <v>43944</v>
      </c>
      <c r="C327">
        <v>26.49</v>
      </c>
      <c r="D327">
        <v>59.8</v>
      </c>
    </row>
    <row r="328" spans="2:4" x14ac:dyDescent="0.25">
      <c r="B328" s="377">
        <v>43945</v>
      </c>
      <c r="C328">
        <v>26.120000999999998</v>
      </c>
      <c r="D328">
        <v>90.5</v>
      </c>
    </row>
    <row r="329" spans="2:4" x14ac:dyDescent="0.25">
      <c r="B329" s="377">
        <v>43948</v>
      </c>
      <c r="C329">
        <v>27.030000999999999</v>
      </c>
      <c r="D329">
        <v>57.3</v>
      </c>
    </row>
    <row r="330" spans="2:4" x14ac:dyDescent="0.25">
      <c r="B330" s="377">
        <v>43949</v>
      </c>
      <c r="C330">
        <v>27.290001</v>
      </c>
      <c r="D330">
        <v>89.7</v>
      </c>
    </row>
    <row r="331" spans="2:4" x14ac:dyDescent="0.25">
      <c r="B331" s="377">
        <v>43950</v>
      </c>
      <c r="C331">
        <v>28.42</v>
      </c>
      <c r="D331">
        <v>232.4</v>
      </c>
    </row>
    <row r="332" spans="2:4" x14ac:dyDescent="0.25">
      <c r="B332" s="377">
        <v>43951</v>
      </c>
      <c r="C332">
        <v>26.51</v>
      </c>
      <c r="D332">
        <v>174.6</v>
      </c>
    </row>
    <row r="333" spans="2:4" x14ac:dyDescent="0.25">
      <c r="B333" s="377">
        <v>43952</v>
      </c>
      <c r="C333">
        <v>25.139999</v>
      </c>
      <c r="D333">
        <v>100.5</v>
      </c>
    </row>
    <row r="334" spans="2:4" x14ac:dyDescent="0.25">
      <c r="B334" s="377">
        <v>43955</v>
      </c>
      <c r="C334">
        <v>23.5</v>
      </c>
      <c r="D334">
        <v>221.6</v>
      </c>
    </row>
    <row r="335" spans="2:4" x14ac:dyDescent="0.25">
      <c r="B335" s="377">
        <v>43956</v>
      </c>
      <c r="C335">
        <v>24.200001</v>
      </c>
      <c r="D335">
        <v>148.4</v>
      </c>
    </row>
    <row r="336" spans="2:4" x14ac:dyDescent="0.25">
      <c r="B336" s="377">
        <v>43957</v>
      </c>
      <c r="C336">
        <v>23.360001</v>
      </c>
      <c r="D336">
        <v>98.9</v>
      </c>
    </row>
    <row r="337" spans="2:4" x14ac:dyDescent="0.25">
      <c r="B337" s="377">
        <v>43958</v>
      </c>
      <c r="C337">
        <v>23.700001</v>
      </c>
      <c r="D337">
        <v>232.1</v>
      </c>
    </row>
    <row r="338" spans="2:4" x14ac:dyDescent="0.25">
      <c r="B338" s="377">
        <v>43959</v>
      </c>
      <c r="C338">
        <v>24.629999000000002</v>
      </c>
      <c r="D338">
        <v>82</v>
      </c>
    </row>
    <row r="339" spans="2:4" x14ac:dyDescent="0.25">
      <c r="B339" s="377">
        <v>43962</v>
      </c>
      <c r="C339">
        <v>23.360001</v>
      </c>
      <c r="D339">
        <v>76.8</v>
      </c>
    </row>
    <row r="340" spans="2:4" x14ac:dyDescent="0.25">
      <c r="B340" s="377">
        <v>43963</v>
      </c>
      <c r="C340">
        <v>22.26</v>
      </c>
      <c r="D340">
        <v>193.6</v>
      </c>
    </row>
    <row r="341" spans="2:4" x14ac:dyDescent="0.25">
      <c r="B341" s="377">
        <v>43964</v>
      </c>
      <c r="C341">
        <v>21.49</v>
      </c>
      <c r="D341">
        <v>228</v>
      </c>
    </row>
    <row r="342" spans="2:4" x14ac:dyDescent="0.25">
      <c r="B342" s="377">
        <v>43965</v>
      </c>
      <c r="C342">
        <v>21.190000999999999</v>
      </c>
      <c r="D342">
        <v>163.80000000000001</v>
      </c>
    </row>
    <row r="343" spans="2:4" x14ac:dyDescent="0.25">
      <c r="B343" s="377">
        <v>43966</v>
      </c>
      <c r="C343">
        <v>20.860001</v>
      </c>
      <c r="D343">
        <v>166.3</v>
      </c>
    </row>
    <row r="344" spans="2:4" x14ac:dyDescent="0.25">
      <c r="B344" s="377">
        <v>43969</v>
      </c>
      <c r="C344">
        <v>21.74</v>
      </c>
      <c r="D344">
        <v>194.3</v>
      </c>
    </row>
    <row r="345" spans="2:4" x14ac:dyDescent="0.25">
      <c r="B345" s="377">
        <v>43970</v>
      </c>
      <c r="C345">
        <v>20.389999</v>
      </c>
      <c r="D345">
        <v>120.5</v>
      </c>
    </row>
    <row r="346" spans="2:4" x14ac:dyDescent="0.25">
      <c r="B346" s="377">
        <v>43971</v>
      </c>
      <c r="C346">
        <v>20.959999</v>
      </c>
      <c r="D346">
        <v>68.3</v>
      </c>
    </row>
    <row r="347" spans="2:4" x14ac:dyDescent="0.25">
      <c r="B347" s="377">
        <v>43972</v>
      </c>
      <c r="C347">
        <v>20.860001</v>
      </c>
      <c r="D347">
        <v>103.4</v>
      </c>
    </row>
    <row r="348" spans="2:4" x14ac:dyDescent="0.25">
      <c r="B348" s="377">
        <v>43973</v>
      </c>
      <c r="C348">
        <v>21.209999</v>
      </c>
      <c r="D348">
        <v>138</v>
      </c>
    </row>
    <row r="349" spans="2:4" x14ac:dyDescent="0.25">
      <c r="B349" s="377">
        <v>43977</v>
      </c>
      <c r="C349">
        <v>22.190000999999999</v>
      </c>
      <c r="D349">
        <v>180.7</v>
      </c>
    </row>
    <row r="350" spans="2:4" x14ac:dyDescent="0.25">
      <c r="B350" s="377">
        <v>43978</v>
      </c>
      <c r="C350">
        <v>23.16</v>
      </c>
      <c r="D350">
        <v>173.2</v>
      </c>
    </row>
    <row r="351" spans="2:4" x14ac:dyDescent="0.25">
      <c r="B351" s="377">
        <v>43979</v>
      </c>
      <c r="C351">
        <v>24.6</v>
      </c>
      <c r="D351">
        <v>255.2</v>
      </c>
    </row>
    <row r="352" spans="2:4" x14ac:dyDescent="0.25">
      <c r="B352" s="377">
        <v>43980</v>
      </c>
      <c r="C352">
        <v>24.309999000000001</v>
      </c>
      <c r="D352">
        <v>171.4</v>
      </c>
    </row>
    <row r="353" spans="2:4" x14ac:dyDescent="0.25">
      <c r="B353" s="377">
        <v>43983</v>
      </c>
      <c r="C353">
        <v>25.9</v>
      </c>
      <c r="D353">
        <v>156.9</v>
      </c>
    </row>
    <row r="354" spans="2:4" x14ac:dyDescent="0.25">
      <c r="B354" s="377">
        <v>43984</v>
      </c>
      <c r="C354">
        <v>25.799999</v>
      </c>
      <c r="D354">
        <v>122.3</v>
      </c>
    </row>
    <row r="355" spans="2:4" x14ac:dyDescent="0.25">
      <c r="B355" s="377">
        <v>43985</v>
      </c>
      <c r="C355">
        <v>27.790001</v>
      </c>
      <c r="D355">
        <v>101.7</v>
      </c>
    </row>
    <row r="356" spans="2:4" x14ac:dyDescent="0.25">
      <c r="B356" s="377">
        <v>43986</v>
      </c>
      <c r="C356">
        <v>28.030000999999999</v>
      </c>
      <c r="D356">
        <v>131.4</v>
      </c>
    </row>
    <row r="357" spans="2:4" x14ac:dyDescent="0.25">
      <c r="B357" s="377">
        <v>43987</v>
      </c>
      <c r="C357">
        <v>28.73</v>
      </c>
      <c r="D357">
        <v>153.19999999999999</v>
      </c>
    </row>
    <row r="358" spans="2:4" x14ac:dyDescent="0.25">
      <c r="B358" s="377">
        <v>43990</v>
      </c>
      <c r="C358">
        <v>30.9</v>
      </c>
      <c r="D358">
        <v>271.10000000000002</v>
      </c>
    </row>
    <row r="359" spans="2:4" x14ac:dyDescent="0.25">
      <c r="B359" s="377">
        <v>43991</v>
      </c>
      <c r="C359">
        <v>29.34</v>
      </c>
      <c r="D359">
        <v>125.3</v>
      </c>
    </row>
    <row r="360" spans="2:4" x14ac:dyDescent="0.25">
      <c r="B360" s="377">
        <v>43992</v>
      </c>
      <c r="C360">
        <v>28.73</v>
      </c>
      <c r="D360">
        <v>173.3</v>
      </c>
    </row>
    <row r="361" spans="2:4" x14ac:dyDescent="0.25">
      <c r="B361" s="377">
        <v>43993</v>
      </c>
      <c r="C361">
        <v>24.959999</v>
      </c>
      <c r="D361">
        <v>222.2</v>
      </c>
    </row>
    <row r="362" spans="2:4" x14ac:dyDescent="0.25">
      <c r="B362" s="377">
        <v>43994</v>
      </c>
      <c r="C362">
        <v>26.49</v>
      </c>
      <c r="D362">
        <v>237.2</v>
      </c>
    </row>
    <row r="363" spans="2:4" x14ac:dyDescent="0.25">
      <c r="B363" s="377">
        <v>43997</v>
      </c>
      <c r="C363">
        <v>27.709999</v>
      </c>
      <c r="D363">
        <v>279.2</v>
      </c>
    </row>
    <row r="364" spans="2:4" x14ac:dyDescent="0.25">
      <c r="B364" s="377">
        <v>43998</v>
      </c>
      <c r="C364">
        <v>26.9</v>
      </c>
      <c r="D364">
        <v>237.4</v>
      </c>
    </row>
    <row r="365" spans="2:4" x14ac:dyDescent="0.25">
      <c r="B365" s="377">
        <v>43999</v>
      </c>
      <c r="C365">
        <v>26.59</v>
      </c>
      <c r="D365">
        <v>174.6</v>
      </c>
    </row>
    <row r="366" spans="2:4" x14ac:dyDescent="0.25">
      <c r="B366" s="377">
        <v>44000</v>
      </c>
      <c r="C366">
        <v>26.5</v>
      </c>
      <c r="D366">
        <v>123.8</v>
      </c>
    </row>
    <row r="367" spans="2:4" x14ac:dyDescent="0.25">
      <c r="B367" s="377">
        <v>44001</v>
      </c>
      <c r="C367">
        <v>26.49</v>
      </c>
      <c r="D367">
        <v>707.5</v>
      </c>
    </row>
    <row r="368" spans="2:4" x14ac:dyDescent="0.25">
      <c r="B368" s="377">
        <v>44004</v>
      </c>
      <c r="C368">
        <v>26.52</v>
      </c>
      <c r="D368">
        <v>175.3</v>
      </c>
    </row>
    <row r="369" spans="2:4" x14ac:dyDescent="0.25">
      <c r="B369" s="377">
        <v>44005</v>
      </c>
      <c r="C369">
        <v>27.16</v>
      </c>
      <c r="D369">
        <v>110.4</v>
      </c>
    </row>
    <row r="370" spans="2:4" x14ac:dyDescent="0.25">
      <c r="B370" s="377">
        <v>44006</v>
      </c>
      <c r="C370">
        <v>25.48</v>
      </c>
      <c r="D370">
        <v>138.19999999999999</v>
      </c>
    </row>
    <row r="371" spans="2:4" x14ac:dyDescent="0.25">
      <c r="B371" s="377">
        <v>44007</v>
      </c>
      <c r="C371">
        <v>25.77</v>
      </c>
      <c r="D371">
        <v>142.69999999999999</v>
      </c>
    </row>
    <row r="372" spans="2:4" x14ac:dyDescent="0.25">
      <c r="B372" s="377">
        <v>44008</v>
      </c>
      <c r="C372">
        <v>25.17</v>
      </c>
      <c r="D372">
        <v>105.4</v>
      </c>
    </row>
    <row r="373" spans="2:4" x14ac:dyDescent="0.25">
      <c r="B373" s="377">
        <v>44011</v>
      </c>
      <c r="C373">
        <v>25.709999</v>
      </c>
      <c r="D373">
        <v>80.8</v>
      </c>
    </row>
    <row r="374" spans="2:4" x14ac:dyDescent="0.25">
      <c r="B374" s="377">
        <v>44012</v>
      </c>
      <c r="C374">
        <v>26.15</v>
      </c>
      <c r="D374">
        <v>75.2</v>
      </c>
    </row>
    <row r="375" spans="2:4" x14ac:dyDescent="0.25">
      <c r="B375" s="377">
        <v>44013</v>
      </c>
      <c r="C375">
        <v>26.09</v>
      </c>
      <c r="D375">
        <v>50</v>
      </c>
    </row>
    <row r="376" spans="2:4" x14ac:dyDescent="0.25">
      <c r="B376" s="377">
        <v>44014</v>
      </c>
      <c r="C376">
        <v>26.27</v>
      </c>
      <c r="D376">
        <v>73.3</v>
      </c>
    </row>
    <row r="377" spans="2:4" x14ac:dyDescent="0.25">
      <c r="B377" s="377">
        <v>44018</v>
      </c>
      <c r="C377">
        <v>26.85</v>
      </c>
      <c r="D377">
        <v>86.3</v>
      </c>
    </row>
    <row r="378" spans="2:4" x14ac:dyDescent="0.25">
      <c r="B378" s="377">
        <v>44019</v>
      </c>
      <c r="C378">
        <v>25.75</v>
      </c>
      <c r="D378">
        <v>76.8</v>
      </c>
    </row>
    <row r="379" spans="2:4" x14ac:dyDescent="0.25">
      <c r="B379" s="377">
        <v>44020</v>
      </c>
      <c r="C379">
        <v>26.610001</v>
      </c>
      <c r="D379">
        <v>69.5</v>
      </c>
    </row>
    <row r="380" spans="2:4" x14ac:dyDescent="0.25">
      <c r="B380" s="377">
        <v>44021</v>
      </c>
      <c r="C380">
        <v>25.5</v>
      </c>
      <c r="D380">
        <v>91.8</v>
      </c>
    </row>
    <row r="381" spans="2:4" x14ac:dyDescent="0.25">
      <c r="B381" s="377">
        <v>44022</v>
      </c>
      <c r="C381">
        <v>25.799999</v>
      </c>
      <c r="D381">
        <v>96.6</v>
      </c>
    </row>
    <row r="382" spans="2:4" x14ac:dyDescent="0.25">
      <c r="B382" s="377">
        <v>44025</v>
      </c>
      <c r="C382">
        <v>25.26</v>
      </c>
      <c r="D382">
        <v>74.8</v>
      </c>
    </row>
    <row r="383" spans="2:4" x14ac:dyDescent="0.25">
      <c r="B383" s="377">
        <v>44026</v>
      </c>
      <c r="C383">
        <v>25.030000999999999</v>
      </c>
      <c r="D383">
        <v>78.8</v>
      </c>
    </row>
    <row r="384" spans="2:4" x14ac:dyDescent="0.25">
      <c r="B384" s="377">
        <v>44027</v>
      </c>
      <c r="C384">
        <v>26.25</v>
      </c>
      <c r="D384">
        <v>106.7</v>
      </c>
    </row>
    <row r="385" spans="2:4" x14ac:dyDescent="0.25">
      <c r="B385" s="377">
        <v>44028</v>
      </c>
      <c r="C385">
        <v>27.299999</v>
      </c>
      <c r="D385">
        <v>172</v>
      </c>
    </row>
    <row r="386" spans="2:4" x14ac:dyDescent="0.25">
      <c r="B386" s="377">
        <v>44029</v>
      </c>
      <c r="C386">
        <v>27.469999000000001</v>
      </c>
      <c r="D386">
        <v>70.7</v>
      </c>
    </row>
    <row r="387" spans="2:4" x14ac:dyDescent="0.25">
      <c r="B387" s="377">
        <v>44032</v>
      </c>
      <c r="C387">
        <v>28.469999000000001</v>
      </c>
      <c r="D387">
        <v>113</v>
      </c>
    </row>
    <row r="388" spans="2:4" x14ac:dyDescent="0.25">
      <c r="B388" s="377">
        <v>44033</v>
      </c>
      <c r="C388">
        <v>29.290001</v>
      </c>
      <c r="D388">
        <v>127.3</v>
      </c>
    </row>
    <row r="389" spans="2:4" x14ac:dyDescent="0.25">
      <c r="B389" s="377">
        <v>44034</v>
      </c>
      <c r="C389">
        <v>29.059999000000001</v>
      </c>
      <c r="D389">
        <v>85.8</v>
      </c>
    </row>
    <row r="390" spans="2:4" x14ac:dyDescent="0.25">
      <c r="B390" s="377">
        <v>44035</v>
      </c>
      <c r="C390">
        <v>29.08</v>
      </c>
      <c r="D390">
        <v>70.099999999999994</v>
      </c>
    </row>
    <row r="391" spans="2:4" x14ac:dyDescent="0.25">
      <c r="B391" s="377">
        <v>44036</v>
      </c>
      <c r="C391">
        <v>28.139999</v>
      </c>
      <c r="D391">
        <v>71.3</v>
      </c>
    </row>
    <row r="392" spans="2:4" x14ac:dyDescent="0.25">
      <c r="B392" s="377">
        <v>44039</v>
      </c>
      <c r="C392">
        <v>28.139999</v>
      </c>
      <c r="D392">
        <v>47.6</v>
      </c>
    </row>
    <row r="393" spans="2:4" x14ac:dyDescent="0.25">
      <c r="B393" s="377">
        <v>44040</v>
      </c>
      <c r="C393">
        <v>28.700001</v>
      </c>
      <c r="D393">
        <v>67.2</v>
      </c>
    </row>
    <row r="394" spans="2:4" x14ac:dyDescent="0.25">
      <c r="B394" s="377">
        <v>44041</v>
      </c>
      <c r="C394">
        <v>28.51</v>
      </c>
      <c r="D394">
        <v>113.2</v>
      </c>
    </row>
    <row r="395" spans="2:4" x14ac:dyDescent="0.25">
      <c r="B395" s="377">
        <v>44042</v>
      </c>
      <c r="C395">
        <v>29.82</v>
      </c>
      <c r="D395">
        <v>118.5</v>
      </c>
    </row>
    <row r="396" spans="2:4" x14ac:dyDescent="0.25">
      <c r="B396" s="377">
        <v>44043</v>
      </c>
      <c r="C396">
        <v>29.75</v>
      </c>
      <c r="D396">
        <v>110.3</v>
      </c>
    </row>
    <row r="397" spans="2:4" x14ac:dyDescent="0.25">
      <c r="B397" s="377">
        <v>44046</v>
      </c>
      <c r="C397">
        <v>29.82</v>
      </c>
      <c r="D397">
        <v>116.9</v>
      </c>
    </row>
    <row r="398" spans="2:4" x14ac:dyDescent="0.25">
      <c r="B398" s="377">
        <v>44047</v>
      </c>
      <c r="C398">
        <v>28.99</v>
      </c>
      <c r="D398">
        <v>117.9</v>
      </c>
    </row>
    <row r="399" spans="2:4" x14ac:dyDescent="0.25">
      <c r="B399" s="377">
        <v>44048</v>
      </c>
      <c r="C399">
        <v>29.129999000000002</v>
      </c>
      <c r="D399">
        <v>102.6</v>
      </c>
    </row>
    <row r="400" spans="2:4" x14ac:dyDescent="0.25">
      <c r="B400" s="377">
        <v>44049</v>
      </c>
      <c r="C400">
        <v>28.42</v>
      </c>
      <c r="D400">
        <v>102.4</v>
      </c>
    </row>
    <row r="401" spans="2:4" x14ac:dyDescent="0.25">
      <c r="B401" s="377">
        <v>44050</v>
      </c>
      <c r="C401">
        <v>28.07</v>
      </c>
      <c r="D401">
        <v>83.4</v>
      </c>
    </row>
    <row r="402" spans="2:4" x14ac:dyDescent="0.25">
      <c r="B402" s="377">
        <v>44053</v>
      </c>
      <c r="C402">
        <v>28.940000999999999</v>
      </c>
      <c r="D402">
        <v>108.2</v>
      </c>
    </row>
    <row r="403" spans="2:4" x14ac:dyDescent="0.25">
      <c r="B403" s="377">
        <v>44054</v>
      </c>
      <c r="C403">
        <v>28.85</v>
      </c>
      <c r="D403">
        <v>56.3</v>
      </c>
    </row>
    <row r="404" spans="2:4" x14ac:dyDescent="0.25">
      <c r="B404" s="377">
        <v>44055</v>
      </c>
      <c r="C404">
        <v>29</v>
      </c>
      <c r="D404">
        <v>43.2</v>
      </c>
    </row>
    <row r="405" spans="2:4" x14ac:dyDescent="0.25">
      <c r="B405" s="377">
        <v>44056</v>
      </c>
      <c r="C405">
        <v>29.42</v>
      </c>
      <c r="D405">
        <v>46.1</v>
      </c>
    </row>
    <row r="406" spans="2:4" x14ac:dyDescent="0.25">
      <c r="B406" s="377">
        <v>44057</v>
      </c>
      <c r="C406">
        <v>29.27</v>
      </c>
      <c r="D406">
        <v>80.599999999999994</v>
      </c>
    </row>
    <row r="407" spans="2:4" x14ac:dyDescent="0.25">
      <c r="B407" s="377">
        <v>44060</v>
      </c>
      <c r="C407">
        <v>28.040001</v>
      </c>
      <c r="D407">
        <v>95.7</v>
      </c>
    </row>
    <row r="408" spans="2:4" x14ac:dyDescent="0.25">
      <c r="B408" s="377">
        <v>44061</v>
      </c>
      <c r="C408">
        <v>27.9</v>
      </c>
      <c r="D408">
        <v>51.4</v>
      </c>
    </row>
    <row r="409" spans="2:4" x14ac:dyDescent="0.25">
      <c r="B409" s="377">
        <v>44062</v>
      </c>
      <c r="C409">
        <v>28.280000999999999</v>
      </c>
      <c r="D409">
        <v>64.599999999999994</v>
      </c>
    </row>
    <row r="410" spans="2:4" x14ac:dyDescent="0.25">
      <c r="B410" s="377">
        <v>44063</v>
      </c>
      <c r="C410">
        <v>28.01</v>
      </c>
      <c r="D410">
        <v>39.1</v>
      </c>
    </row>
    <row r="411" spans="2:4" x14ac:dyDescent="0.25">
      <c r="B411" s="377">
        <v>44064</v>
      </c>
      <c r="C411">
        <v>27.26</v>
      </c>
      <c r="D411">
        <v>90.7</v>
      </c>
    </row>
    <row r="412" spans="2:4" x14ac:dyDescent="0.25">
      <c r="B412" s="377">
        <v>44067</v>
      </c>
      <c r="C412">
        <v>28.27</v>
      </c>
      <c r="D412">
        <v>121.8</v>
      </c>
    </row>
    <row r="413" spans="2:4" x14ac:dyDescent="0.25">
      <c r="B413" s="377">
        <v>44068</v>
      </c>
      <c r="C413">
        <v>29.51</v>
      </c>
      <c r="D413">
        <v>114.5</v>
      </c>
    </row>
    <row r="414" spans="2:4" x14ac:dyDescent="0.25">
      <c r="B414" s="377">
        <v>44069</v>
      </c>
      <c r="C414">
        <v>29.91</v>
      </c>
      <c r="D414">
        <v>71.599999999999994</v>
      </c>
    </row>
    <row r="415" spans="2:4" x14ac:dyDescent="0.25">
      <c r="B415" s="377">
        <v>44070</v>
      </c>
      <c r="C415">
        <v>29.9</v>
      </c>
      <c r="D415">
        <v>95.8</v>
      </c>
    </row>
    <row r="416" spans="2:4" x14ac:dyDescent="0.25">
      <c r="B416" s="377">
        <v>44071</v>
      </c>
      <c r="C416">
        <v>30.139999</v>
      </c>
      <c r="D416">
        <v>114.9</v>
      </c>
    </row>
    <row r="417" spans="2:4" x14ac:dyDescent="0.25">
      <c r="B417" s="377">
        <v>44074</v>
      </c>
      <c r="C417">
        <v>29.549999</v>
      </c>
      <c r="D417">
        <v>137.5</v>
      </c>
    </row>
    <row r="418" spans="2:4" x14ac:dyDescent="0.25">
      <c r="B418" s="377">
        <v>44075</v>
      </c>
      <c r="C418">
        <v>29.440000999999999</v>
      </c>
      <c r="D418">
        <v>57.6</v>
      </c>
    </row>
    <row r="419" spans="2:4" x14ac:dyDescent="0.25">
      <c r="B419" s="377">
        <v>44076</v>
      </c>
      <c r="C419">
        <v>29.1</v>
      </c>
      <c r="D419">
        <v>57.1</v>
      </c>
    </row>
    <row r="420" spans="2:4" x14ac:dyDescent="0.25">
      <c r="B420" s="377">
        <v>44077</v>
      </c>
      <c r="C420">
        <v>28.809999000000001</v>
      </c>
      <c r="D420">
        <v>69.2</v>
      </c>
    </row>
    <row r="421" spans="2:4" x14ac:dyDescent="0.25">
      <c r="B421" s="377">
        <v>44078</v>
      </c>
      <c r="C421">
        <v>28.969999000000001</v>
      </c>
      <c r="D421">
        <v>67</v>
      </c>
    </row>
    <row r="422" spans="2:4" x14ac:dyDescent="0.25">
      <c r="B422" s="377">
        <v>44082</v>
      </c>
      <c r="C422">
        <v>29.370000999999998</v>
      </c>
      <c r="D422">
        <v>79.5</v>
      </c>
    </row>
    <row r="423" spans="2:4" x14ac:dyDescent="0.25">
      <c r="B423" s="377">
        <v>44083</v>
      </c>
      <c r="C423">
        <v>32.659999999999997</v>
      </c>
      <c r="D423">
        <v>181.8</v>
      </c>
    </row>
    <row r="424" spans="2:4" x14ac:dyDescent="0.25">
      <c r="B424" s="377">
        <v>44084</v>
      </c>
      <c r="C424">
        <v>32.130001</v>
      </c>
      <c r="D424">
        <v>139.9</v>
      </c>
    </row>
    <row r="425" spans="2:4" x14ac:dyDescent="0.25">
      <c r="B425" s="377">
        <v>44085</v>
      </c>
      <c r="C425">
        <v>32.169998</v>
      </c>
      <c r="D425">
        <v>108.9</v>
      </c>
    </row>
    <row r="426" spans="2:4" x14ac:dyDescent="0.25">
      <c r="B426" s="377">
        <v>44088</v>
      </c>
      <c r="C426">
        <v>31.92</v>
      </c>
      <c r="D426">
        <v>384.3</v>
      </c>
    </row>
    <row r="427" spans="2:4" x14ac:dyDescent="0.25">
      <c r="B427" s="377">
        <v>44089</v>
      </c>
      <c r="C427">
        <v>32.020000000000003</v>
      </c>
      <c r="D427">
        <v>245.8</v>
      </c>
    </row>
    <row r="428" spans="2:4" x14ac:dyDescent="0.25">
      <c r="B428" s="377">
        <v>44090</v>
      </c>
      <c r="C428">
        <v>32.139999000000003</v>
      </c>
      <c r="D428">
        <v>207.7</v>
      </c>
    </row>
    <row r="429" spans="2:4" x14ac:dyDescent="0.25">
      <c r="B429" s="377">
        <v>44091</v>
      </c>
      <c r="C429">
        <v>32.099997999999999</v>
      </c>
      <c r="D429">
        <v>195.8</v>
      </c>
    </row>
    <row r="430" spans="2:4" x14ac:dyDescent="0.25">
      <c r="B430" s="377">
        <v>44092</v>
      </c>
      <c r="C430">
        <v>31.879999000000002</v>
      </c>
      <c r="D430">
        <v>1317.5</v>
      </c>
    </row>
    <row r="431" spans="2:4" x14ac:dyDescent="0.25">
      <c r="B431" s="377">
        <v>44095</v>
      </c>
      <c r="C431">
        <v>30.35</v>
      </c>
      <c r="D431">
        <v>188.1</v>
      </c>
    </row>
    <row r="432" spans="2:4" x14ac:dyDescent="0.25">
      <c r="B432" s="377">
        <v>44096</v>
      </c>
      <c r="C432">
        <v>29.65</v>
      </c>
      <c r="D432">
        <v>142.80000000000001</v>
      </c>
    </row>
    <row r="433" spans="2:4" x14ac:dyDescent="0.25">
      <c r="B433" s="377">
        <v>44097</v>
      </c>
      <c r="C433">
        <v>29.190000999999999</v>
      </c>
      <c r="D433">
        <v>170</v>
      </c>
    </row>
    <row r="434" spans="2:4" x14ac:dyDescent="0.25">
      <c r="B434" s="377">
        <v>44098</v>
      </c>
      <c r="C434">
        <v>28.35</v>
      </c>
      <c r="D434">
        <v>94</v>
      </c>
    </row>
    <row r="435" spans="2:4" x14ac:dyDescent="0.25">
      <c r="B435" s="377">
        <v>44099</v>
      </c>
      <c r="C435">
        <v>28.32</v>
      </c>
      <c r="D435">
        <v>110</v>
      </c>
    </row>
    <row r="436" spans="2:4" x14ac:dyDescent="0.25">
      <c r="B436" s="377">
        <v>44102</v>
      </c>
      <c r="C436">
        <v>29.120000999999998</v>
      </c>
      <c r="D436">
        <v>118.7</v>
      </c>
    </row>
    <row r="437" spans="2:4" x14ac:dyDescent="0.25">
      <c r="B437" s="377">
        <v>44103</v>
      </c>
      <c r="C437">
        <v>29.620000999999998</v>
      </c>
      <c r="D437">
        <v>137.5</v>
      </c>
    </row>
    <row r="438" spans="2:4" x14ac:dyDescent="0.25">
      <c r="B438" s="377">
        <v>44104</v>
      </c>
      <c r="C438">
        <v>30.280000999999999</v>
      </c>
      <c r="D438">
        <v>128.9</v>
      </c>
    </row>
    <row r="439" spans="2:4" x14ac:dyDescent="0.25">
      <c r="B439" s="377">
        <v>44105</v>
      </c>
      <c r="C439">
        <v>29.93</v>
      </c>
      <c r="D439">
        <v>154.9</v>
      </c>
    </row>
    <row r="440" spans="2:4" x14ac:dyDescent="0.25">
      <c r="B440" s="377">
        <v>44106</v>
      </c>
      <c r="C440">
        <v>29.65</v>
      </c>
      <c r="D440">
        <v>103</v>
      </c>
    </row>
    <row r="441" spans="2:4" x14ac:dyDescent="0.25">
      <c r="B441" s="377">
        <v>44109</v>
      </c>
      <c r="C441">
        <v>30.52</v>
      </c>
      <c r="D441">
        <v>113.1</v>
      </c>
    </row>
    <row r="442" spans="2:4" x14ac:dyDescent="0.25">
      <c r="B442" s="377">
        <v>44110</v>
      </c>
      <c r="C442">
        <v>30.940000999999999</v>
      </c>
      <c r="D442">
        <v>119.4</v>
      </c>
    </row>
    <row r="443" spans="2:4" x14ac:dyDescent="0.25">
      <c r="B443" s="377">
        <v>44111</v>
      </c>
      <c r="C443">
        <v>31.200001</v>
      </c>
      <c r="D443">
        <v>74.599999999999994</v>
      </c>
    </row>
    <row r="444" spans="2:4" x14ac:dyDescent="0.25">
      <c r="B444" s="377">
        <v>44112</v>
      </c>
      <c r="C444">
        <v>31.709999</v>
      </c>
      <c r="D444">
        <v>96.9</v>
      </c>
    </row>
    <row r="445" spans="2:4" x14ac:dyDescent="0.25">
      <c r="B445" s="377">
        <v>44113</v>
      </c>
      <c r="C445">
        <v>31.49</v>
      </c>
      <c r="D445">
        <v>115.2</v>
      </c>
    </row>
    <row r="446" spans="2:4" x14ac:dyDescent="0.25">
      <c r="B446" s="377">
        <v>44116</v>
      </c>
      <c r="C446">
        <v>31.52</v>
      </c>
      <c r="D446">
        <v>82.4</v>
      </c>
    </row>
    <row r="447" spans="2:4" x14ac:dyDescent="0.25">
      <c r="B447" s="377">
        <v>44117</v>
      </c>
      <c r="C447">
        <v>30.74</v>
      </c>
      <c r="D447">
        <v>68.3</v>
      </c>
    </row>
    <row r="448" spans="2:4" x14ac:dyDescent="0.25">
      <c r="B448" s="377">
        <v>44118</v>
      </c>
      <c r="C448">
        <v>30.67</v>
      </c>
      <c r="D448">
        <v>67.599999999999994</v>
      </c>
    </row>
    <row r="449" spans="2:4" x14ac:dyDescent="0.25">
      <c r="B449" s="377">
        <v>44119</v>
      </c>
      <c r="C449">
        <v>30.34</v>
      </c>
      <c r="D449">
        <v>73.099999999999994</v>
      </c>
    </row>
    <row r="450" spans="2:4" x14ac:dyDescent="0.25">
      <c r="B450" s="377">
        <v>44120</v>
      </c>
      <c r="C450">
        <v>30.75</v>
      </c>
      <c r="D450">
        <v>66</v>
      </c>
    </row>
    <row r="451" spans="2:4" x14ac:dyDescent="0.25">
      <c r="B451" s="377">
        <v>44123</v>
      </c>
      <c r="C451">
        <v>32.32</v>
      </c>
      <c r="D451">
        <v>99.3</v>
      </c>
    </row>
    <row r="452" spans="2:4" x14ac:dyDescent="0.25">
      <c r="B452" s="377">
        <v>44124</v>
      </c>
      <c r="C452">
        <v>32.279998999999997</v>
      </c>
      <c r="D452">
        <v>79.8</v>
      </c>
    </row>
    <row r="453" spans="2:4" x14ac:dyDescent="0.25">
      <c r="B453" s="377">
        <v>44125</v>
      </c>
      <c r="C453">
        <v>31.809999000000001</v>
      </c>
      <c r="D453">
        <v>56.9</v>
      </c>
    </row>
    <row r="454" spans="2:4" x14ac:dyDescent="0.25">
      <c r="B454" s="377">
        <v>44126</v>
      </c>
      <c r="C454">
        <v>32.779998999999997</v>
      </c>
      <c r="D454">
        <v>69.5</v>
      </c>
    </row>
    <row r="455" spans="2:4" x14ac:dyDescent="0.25">
      <c r="B455" s="377">
        <v>44127</v>
      </c>
      <c r="C455">
        <v>32.880001</v>
      </c>
      <c r="D455">
        <v>57</v>
      </c>
    </row>
    <row r="456" spans="2:4" x14ac:dyDescent="0.25">
      <c r="B456" s="377">
        <v>44130</v>
      </c>
      <c r="C456">
        <v>30.6</v>
      </c>
      <c r="D456">
        <v>54.4</v>
      </c>
    </row>
    <row r="457" spans="2:4" x14ac:dyDescent="0.25">
      <c r="B457" s="377">
        <v>44131</v>
      </c>
      <c r="C457">
        <v>29.450001</v>
      </c>
      <c r="D457">
        <v>59.7</v>
      </c>
    </row>
    <row r="458" spans="2:4" x14ac:dyDescent="0.25">
      <c r="B458" s="377">
        <v>44132</v>
      </c>
      <c r="C458">
        <v>28.530000999999999</v>
      </c>
      <c r="D458">
        <v>72.2</v>
      </c>
    </row>
    <row r="459" spans="2:4" x14ac:dyDescent="0.25">
      <c r="B459" s="377">
        <v>44133</v>
      </c>
      <c r="C459">
        <v>28.309999000000001</v>
      </c>
      <c r="D459">
        <v>52.2</v>
      </c>
    </row>
    <row r="460" spans="2:4" x14ac:dyDescent="0.25">
      <c r="B460" s="377">
        <v>44134</v>
      </c>
      <c r="C460">
        <v>29.84</v>
      </c>
      <c r="D460">
        <v>83.5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E968-59B8-41E6-907E-AC56E4E68C9D}">
  <sheetPr>
    <tabColor rgb="FF92D050"/>
  </sheetPr>
  <dimension ref="A2:W75"/>
  <sheetViews>
    <sheetView showGridLines="0" workbookViewId="0"/>
  </sheetViews>
  <sheetFormatPr defaultColWidth="9" defaultRowHeight="15.75" x14ac:dyDescent="0.25"/>
  <cols>
    <col min="1" max="1" width="9" style="32"/>
    <col min="2" max="2" width="3.125" style="32" customWidth="1"/>
    <col min="3" max="3" width="31.125" style="32" customWidth="1"/>
    <col min="4" max="4" width="12.5" style="32" customWidth="1"/>
    <col min="5" max="6" width="15" style="32" customWidth="1"/>
    <col min="7" max="9" width="16.125" style="32" bestFit="1" customWidth="1"/>
    <col min="10" max="14" width="15" style="32" customWidth="1"/>
    <col min="15" max="16384" width="9" style="32"/>
  </cols>
  <sheetData>
    <row r="2" spans="1:23" x14ac:dyDescent="0.25">
      <c r="B2" s="33" t="s">
        <v>0</v>
      </c>
    </row>
    <row r="3" spans="1:23" ht="16.5" thickBot="1" x14ac:dyDescent="0.3">
      <c r="B3" s="34"/>
      <c r="C3" s="34" t="s">
        <v>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23" ht="16.5" thickBot="1" x14ac:dyDescent="0.3">
      <c r="R4"/>
      <c r="S4"/>
    </row>
    <row r="5" spans="1:23" x14ac:dyDescent="0.25">
      <c r="A5" s="32" t="s">
        <v>449</v>
      </c>
      <c r="B5" s="46" t="s">
        <v>2</v>
      </c>
      <c r="C5" s="47"/>
      <c r="D5" s="74"/>
      <c r="E5" s="51" t="s">
        <v>3</v>
      </c>
      <c r="F5" s="51" t="s">
        <v>4</v>
      </c>
      <c r="G5" s="51" t="s">
        <v>5</v>
      </c>
      <c r="H5" s="51" t="s">
        <v>6</v>
      </c>
      <c r="I5" s="89" t="s">
        <v>7</v>
      </c>
      <c r="J5" s="51" t="s">
        <v>8</v>
      </c>
      <c r="K5" s="51" t="s">
        <v>9</v>
      </c>
      <c r="L5" s="51" t="s">
        <v>10</v>
      </c>
      <c r="M5" s="51" t="s">
        <v>11</v>
      </c>
      <c r="N5" s="52" t="s">
        <v>12</v>
      </c>
      <c r="R5"/>
      <c r="S5"/>
    </row>
    <row r="6" spans="1:23" ht="16.5" thickBot="1" x14ac:dyDescent="0.3">
      <c r="B6" s="295" t="s">
        <v>13</v>
      </c>
      <c r="C6" s="93"/>
      <c r="D6" s="93"/>
      <c r="E6" s="94">
        <v>42369</v>
      </c>
      <c r="F6" s="94">
        <v>42735</v>
      </c>
      <c r="G6" s="95" t="s">
        <v>14</v>
      </c>
      <c r="H6" s="95" t="s">
        <v>15</v>
      </c>
      <c r="I6" s="96" t="s">
        <v>16</v>
      </c>
      <c r="J6" s="95" t="s">
        <v>17</v>
      </c>
      <c r="K6" s="95" t="s">
        <v>18</v>
      </c>
      <c r="L6" s="95" t="s">
        <v>19</v>
      </c>
      <c r="M6" s="95" t="s">
        <v>20</v>
      </c>
      <c r="N6" s="244" t="s">
        <v>21</v>
      </c>
      <c r="R6"/>
      <c r="S6"/>
    </row>
    <row r="7" spans="1:23" x14ac:dyDescent="0.25">
      <c r="B7" s="305" t="s">
        <v>22</v>
      </c>
      <c r="C7" s="306"/>
      <c r="D7" s="306"/>
      <c r="E7" s="307">
        <f>F13+E51</f>
        <v>5722</v>
      </c>
      <c r="F7" s="307">
        <f t="shared" ref="F7:N7" si="0">F13+F51</f>
        <v>5748</v>
      </c>
      <c r="G7" s="307">
        <f t="shared" si="0"/>
        <v>5811.3320000000003</v>
      </c>
      <c r="H7" s="307">
        <f t="shared" si="0"/>
        <v>5881.9888000000001</v>
      </c>
      <c r="I7" s="308">
        <f t="shared" si="0"/>
        <v>6344.58</v>
      </c>
      <c r="J7" s="307">
        <f t="shared" si="0"/>
        <v>6361.0690515397791</v>
      </c>
      <c r="K7" s="307">
        <f t="shared" si="0"/>
        <v>6551.8501403829987</v>
      </c>
      <c r="L7" s="307">
        <f t="shared" si="0"/>
        <v>6737.7057597360135</v>
      </c>
      <c r="M7" s="307">
        <f t="shared" si="0"/>
        <v>6851.5389318210455</v>
      </c>
      <c r="N7" s="309">
        <f t="shared" si="0"/>
        <v>7031.0794591072299</v>
      </c>
      <c r="R7"/>
      <c r="S7"/>
    </row>
    <row r="8" spans="1:23" x14ac:dyDescent="0.25">
      <c r="B8" s="98"/>
      <c r="C8" s="56" t="s">
        <v>23</v>
      </c>
      <c r="D8" s="35"/>
      <c r="E8" s="37"/>
      <c r="F8" s="140">
        <f t="shared" ref="F8:N8" si="1">F7/E7-1</f>
        <v>4.5438657811953664E-3</v>
      </c>
      <c r="G8" s="140">
        <f t="shared" si="1"/>
        <v>1.1018093249826055E-2</v>
      </c>
      <c r="H8" s="140">
        <f t="shared" si="1"/>
        <v>1.2158451797281478E-2</v>
      </c>
      <c r="I8" s="297">
        <f t="shared" si="1"/>
        <v>7.8645372463136853E-2</v>
      </c>
      <c r="J8" s="140">
        <f t="shared" si="1"/>
        <v>2.5989193200777194E-3</v>
      </c>
      <c r="K8" s="140">
        <f t="shared" si="1"/>
        <v>2.999198519894053E-2</v>
      </c>
      <c r="L8" s="140">
        <f t="shared" si="1"/>
        <v>2.8366891087370005E-2</v>
      </c>
      <c r="M8" s="140">
        <f t="shared" si="1"/>
        <v>1.6894945571130471E-2</v>
      </c>
      <c r="N8" s="282">
        <f t="shared" si="1"/>
        <v>2.6204408830304171E-2</v>
      </c>
      <c r="R8"/>
      <c r="S8"/>
    </row>
    <row r="9" spans="1:23" x14ac:dyDescent="0.25">
      <c r="B9" s="98" t="s">
        <v>24</v>
      </c>
      <c r="C9" s="35"/>
      <c r="D9" s="35"/>
      <c r="E9" s="36">
        <v>850</v>
      </c>
      <c r="F9" s="36">
        <v>1874</v>
      </c>
      <c r="G9" s="36">
        <v>1892</v>
      </c>
      <c r="H9" s="36">
        <v>1937</v>
      </c>
      <c r="I9" s="60">
        <v>2009</v>
      </c>
      <c r="J9" s="37">
        <f>(0.2145*J7)+652.64</f>
        <v>2017.0893115552826</v>
      </c>
      <c r="K9" s="37">
        <f>(0.2145*K7)+652.64</f>
        <v>2058.0118551121532</v>
      </c>
      <c r="L9" s="37">
        <f>(0.2145*L7)+652.64</f>
        <v>2097.8778854633747</v>
      </c>
      <c r="M9" s="37">
        <f>(0.2145*M7)+652.64</f>
        <v>2122.295100875614</v>
      </c>
      <c r="N9" s="197">
        <f>(0.2145*N7)+652.64</f>
        <v>2160.8065439785009</v>
      </c>
    </row>
    <row r="10" spans="1:23" x14ac:dyDescent="0.25">
      <c r="B10" s="98"/>
      <c r="C10" s="56" t="s">
        <v>23</v>
      </c>
      <c r="D10" s="35"/>
      <c r="E10" s="37"/>
      <c r="F10" s="132">
        <f t="shared" ref="F10:N10" si="2">F9/E9-1</f>
        <v>1.2047058823529411</v>
      </c>
      <c r="G10" s="132">
        <f t="shared" si="2"/>
        <v>9.605122732123883E-3</v>
      </c>
      <c r="H10" s="132">
        <f t="shared" si="2"/>
        <v>2.378435517970412E-2</v>
      </c>
      <c r="I10" s="298">
        <f t="shared" si="2"/>
        <v>3.7170882808466699E-2</v>
      </c>
      <c r="J10" s="132">
        <f t="shared" si="2"/>
        <v>4.026536364003297E-3</v>
      </c>
      <c r="K10" s="132">
        <f t="shared" si="2"/>
        <v>2.0287918498421487E-2</v>
      </c>
      <c r="L10" s="132">
        <f t="shared" si="2"/>
        <v>1.9371137368423552E-2</v>
      </c>
      <c r="M10" s="132">
        <f t="shared" si="2"/>
        <v>1.1639007008668711E-2</v>
      </c>
      <c r="N10" s="283">
        <f t="shared" si="2"/>
        <v>1.81461301432575E-2</v>
      </c>
    </row>
    <row r="11" spans="1:23" x14ac:dyDescent="0.25">
      <c r="B11" s="279" t="s">
        <v>25</v>
      </c>
      <c r="C11" s="62"/>
      <c r="D11" s="62"/>
      <c r="E11" s="310">
        <f>E7+E9</f>
        <v>6572</v>
      </c>
      <c r="F11" s="310">
        <f t="shared" ref="F11:N11" si="3">F7-F9</f>
        <v>3874</v>
      </c>
      <c r="G11" s="310">
        <f t="shared" si="3"/>
        <v>3919.3320000000003</v>
      </c>
      <c r="H11" s="310">
        <f t="shared" si="3"/>
        <v>3944.9888000000001</v>
      </c>
      <c r="I11" s="311">
        <f t="shared" si="3"/>
        <v>4335.58</v>
      </c>
      <c r="J11" s="310">
        <f t="shared" si="3"/>
        <v>4343.9797399844965</v>
      </c>
      <c r="K11" s="310">
        <f t="shared" si="3"/>
        <v>4493.8382852708455</v>
      </c>
      <c r="L11" s="310">
        <f t="shared" si="3"/>
        <v>4639.8278742726388</v>
      </c>
      <c r="M11" s="310">
        <f t="shared" si="3"/>
        <v>4729.2438309454319</v>
      </c>
      <c r="N11" s="312">
        <f t="shared" si="3"/>
        <v>4870.2729151287294</v>
      </c>
    </row>
    <row r="12" spans="1:23" x14ac:dyDescent="0.25">
      <c r="B12" s="100"/>
      <c r="C12" s="35"/>
      <c r="D12" s="35"/>
      <c r="E12" s="35"/>
      <c r="F12" s="35"/>
      <c r="G12" s="41"/>
      <c r="H12" s="41"/>
      <c r="I12" s="299"/>
      <c r="J12" s="35"/>
      <c r="K12" s="35"/>
      <c r="L12" s="35"/>
      <c r="M12" s="35"/>
      <c r="N12" s="99"/>
    </row>
    <row r="13" spans="1:23" x14ac:dyDescent="0.25">
      <c r="A13" s="32" t="s">
        <v>449</v>
      </c>
      <c r="B13" s="98" t="s">
        <v>26</v>
      </c>
      <c r="C13" s="35"/>
      <c r="D13" s="35"/>
      <c r="E13" s="110">
        <f>E15+E42+E49</f>
        <v>5740</v>
      </c>
      <c r="F13" s="110">
        <f>F15+F42+F49</f>
        <v>5352</v>
      </c>
      <c r="G13" s="110">
        <f>G15+G42+G49</f>
        <v>5441</v>
      </c>
      <c r="H13" s="110">
        <f>H15+H42+H49</f>
        <v>5485</v>
      </c>
      <c r="I13" s="300">
        <f>I15+I42+I49</f>
        <v>5964</v>
      </c>
      <c r="J13" s="110">
        <f t="shared" ref="J13:N13" si="4">J15+J42+J49</f>
        <v>5980.3890515397788</v>
      </c>
      <c r="K13" s="110">
        <f t="shared" si="4"/>
        <v>6169.9421403829983</v>
      </c>
      <c r="L13" s="110">
        <f t="shared" si="4"/>
        <v>6354.5697597360131</v>
      </c>
      <c r="M13" s="110">
        <f t="shared" si="4"/>
        <v>6467.174931821045</v>
      </c>
      <c r="N13" s="198">
        <f t="shared" si="4"/>
        <v>6645.4874591072294</v>
      </c>
    </row>
    <row r="14" spans="1:23" x14ac:dyDescent="0.25">
      <c r="B14" s="284"/>
      <c r="C14" s="35"/>
      <c r="D14" s="35"/>
      <c r="E14" s="35"/>
      <c r="F14" s="36"/>
      <c r="G14" s="110"/>
      <c r="H14" s="110"/>
      <c r="I14" s="300"/>
      <c r="J14" s="42"/>
      <c r="K14" s="42"/>
      <c r="L14" s="42"/>
      <c r="M14" s="42"/>
      <c r="N14" s="285"/>
      <c r="U14" s="111"/>
      <c r="V14" s="111"/>
      <c r="W14" s="111"/>
    </row>
    <row r="15" spans="1:23" x14ac:dyDescent="0.25">
      <c r="B15" s="100"/>
      <c r="C15" s="73" t="s">
        <v>27</v>
      </c>
      <c r="D15" s="35"/>
      <c r="E15" s="36">
        <v>3580</v>
      </c>
      <c r="F15" s="36">
        <v>3318</v>
      </c>
      <c r="G15" s="110">
        <f>G18+G21+G24+G27+G30+G33+G36+G39</f>
        <v>3278.7864</v>
      </c>
      <c r="H15" s="110">
        <f>H18+H21+H24+H27+H30+H33+H36+H39</f>
        <v>3194.0015999999996</v>
      </c>
      <c r="I15" s="300">
        <f>I18+I21+I24+I27+I30+I33+I36+I39</f>
        <v>3490.5095999999994</v>
      </c>
      <c r="J15" s="110">
        <f t="shared" ref="J15:N15" si="5">J18+J21+J24+J27+J30+J33+J36+J39</f>
        <v>3423.5540000000001</v>
      </c>
      <c r="K15" s="110">
        <f t="shared" si="5"/>
        <v>3487.2549333333332</v>
      </c>
      <c r="L15" s="110">
        <f t="shared" si="5"/>
        <v>3545.9566666666665</v>
      </c>
      <c r="M15" s="110">
        <f t="shared" si="5"/>
        <v>3532.5622222222219</v>
      </c>
      <c r="N15" s="198">
        <f t="shared" si="5"/>
        <v>3584.8014024691356</v>
      </c>
      <c r="U15" s="111"/>
      <c r="V15" s="111"/>
      <c r="W15" s="111"/>
    </row>
    <row r="16" spans="1:23" x14ac:dyDescent="0.25">
      <c r="B16" s="100"/>
      <c r="C16" s="73" t="s">
        <v>28</v>
      </c>
      <c r="D16" s="35"/>
      <c r="E16" s="110">
        <v>0</v>
      </c>
      <c r="F16" s="110">
        <v>0</v>
      </c>
      <c r="G16" s="36">
        <v>98.4</v>
      </c>
      <c r="H16" s="36">
        <v>94.8</v>
      </c>
      <c r="I16" s="60">
        <v>87.6</v>
      </c>
      <c r="J16" s="118">
        <f>Assumptions!E7</f>
        <v>87.6</v>
      </c>
      <c r="K16" s="118">
        <f>Assumptions!F7</f>
        <v>88.8</v>
      </c>
      <c r="L16" s="118">
        <f>Assumptions!G7</f>
        <v>90</v>
      </c>
      <c r="M16" s="118">
        <f>Assumptions!H7</f>
        <v>90</v>
      </c>
      <c r="N16" s="286">
        <f>Assumptions!I7</f>
        <v>91.2</v>
      </c>
      <c r="Q16"/>
      <c r="U16" s="111"/>
      <c r="V16" s="111"/>
      <c r="W16" s="111"/>
    </row>
    <row r="17" spans="2:23" x14ac:dyDescent="0.25">
      <c r="B17" s="100"/>
      <c r="C17" s="73"/>
      <c r="D17" s="35"/>
      <c r="E17" s="35"/>
      <c r="F17" s="36"/>
      <c r="G17" s="110"/>
      <c r="H17" s="110"/>
      <c r="I17" s="300"/>
      <c r="J17" s="42"/>
      <c r="K17" s="42"/>
      <c r="L17" s="42"/>
      <c r="M17" s="42"/>
      <c r="N17" s="285"/>
      <c r="Q17"/>
      <c r="U17" s="111"/>
      <c r="V17" s="111"/>
      <c r="W17" s="111"/>
    </row>
    <row r="18" spans="2:23" x14ac:dyDescent="0.25">
      <c r="B18" s="100"/>
      <c r="C18" s="35" t="s">
        <v>29</v>
      </c>
      <c r="D18" s="35"/>
      <c r="E18" s="110">
        <v>0</v>
      </c>
      <c r="F18" s="110">
        <v>0</v>
      </c>
      <c r="G18" s="110">
        <f>G19*G$16</f>
        <v>337.80720000000002</v>
      </c>
      <c r="H18" s="110">
        <f>H19*H$16</f>
        <v>341.6592</v>
      </c>
      <c r="I18" s="300">
        <f>I19*I$16</f>
        <v>325.52159999999998</v>
      </c>
      <c r="J18" s="42">
        <f>J$16*J19</f>
        <v>313.98759999999999</v>
      </c>
      <c r="K18" s="42">
        <f t="shared" ref="K18:N18" si="6">K$16*K19</f>
        <v>322.76826666666665</v>
      </c>
      <c r="L18" s="42">
        <f t="shared" si="6"/>
        <v>328.05333333333334</v>
      </c>
      <c r="M18" s="42">
        <f t="shared" si="6"/>
        <v>325.92444444444442</v>
      </c>
      <c r="N18" s="285">
        <f t="shared" si="6"/>
        <v>331.39640493827159</v>
      </c>
      <c r="Q18"/>
      <c r="U18" s="111"/>
      <c r="V18" s="111"/>
      <c r="W18" s="111"/>
    </row>
    <row r="19" spans="2:23" x14ac:dyDescent="0.25">
      <c r="B19" s="100"/>
      <c r="C19" s="112" t="s">
        <v>30</v>
      </c>
      <c r="D19" s="39"/>
      <c r="E19" s="110">
        <v>0</v>
      </c>
      <c r="F19" s="110">
        <v>0</v>
      </c>
      <c r="G19" s="36">
        <v>3.4329999999999998</v>
      </c>
      <c r="H19" s="36">
        <v>3.6040000000000001</v>
      </c>
      <c r="I19" s="60">
        <v>3.7160000000000002</v>
      </c>
      <c r="J19" s="36">
        <f>AVERAGE(G19:I19)</f>
        <v>3.5843333333333334</v>
      </c>
      <c r="K19" s="36">
        <f>AVERAGE(H19:J19)</f>
        <v>3.6347777777777779</v>
      </c>
      <c r="L19" s="36">
        <f>AVERAGE(I19:K19)</f>
        <v>3.6450370370370373</v>
      </c>
      <c r="M19" s="36">
        <f>AVERAGE(J19:L19)</f>
        <v>3.6213827160493826</v>
      </c>
      <c r="N19" s="199">
        <f>AVERAGE(K19:M19)</f>
        <v>3.6337325102880658</v>
      </c>
    </row>
    <row r="20" spans="2:23" x14ac:dyDescent="0.25">
      <c r="B20" s="100"/>
      <c r="C20" s="114"/>
      <c r="D20" s="35"/>
      <c r="E20" s="35"/>
      <c r="F20" s="36"/>
      <c r="G20" s="36"/>
      <c r="H20" s="36"/>
      <c r="I20" s="60"/>
      <c r="J20" s="42"/>
      <c r="K20" s="42"/>
      <c r="L20" s="42"/>
      <c r="M20" s="42"/>
      <c r="N20" s="285"/>
    </row>
    <row r="21" spans="2:23" x14ac:dyDescent="0.25">
      <c r="B21" s="100"/>
      <c r="C21" s="113" t="s">
        <v>31</v>
      </c>
      <c r="D21" s="35"/>
      <c r="E21" s="110">
        <v>0</v>
      </c>
      <c r="F21" s="110">
        <v>0</v>
      </c>
      <c r="G21" s="110">
        <f>G22*G$16</f>
        <v>800.87760000000003</v>
      </c>
      <c r="H21" s="110">
        <f>H22*H$16</f>
        <v>815.37480000000005</v>
      </c>
      <c r="I21" s="300">
        <f>I22*I$16</f>
        <v>825.27959999999985</v>
      </c>
      <c r="J21" s="42">
        <f>J$16*J22</f>
        <v>763.90120000000002</v>
      </c>
      <c r="K21" s="42">
        <f t="shared" ref="K21" si="7">K$16*K22</f>
        <v>791.5730666666667</v>
      </c>
      <c r="L21" s="42">
        <f t="shared" ref="L21" si="8">L$16*L22</f>
        <v>811.66333333333341</v>
      </c>
      <c r="M21" s="42">
        <f t="shared" ref="M21" si="9">M$16*M22</f>
        <v>799.58777777777777</v>
      </c>
      <c r="N21" s="285">
        <f t="shared" ref="N21" si="10">N$16*N22</f>
        <v>815.23379753086419</v>
      </c>
    </row>
    <row r="22" spans="2:23" x14ac:dyDescent="0.25">
      <c r="B22" s="100"/>
      <c r="C22" s="112" t="s">
        <v>30</v>
      </c>
      <c r="D22" s="39"/>
      <c r="E22" s="110">
        <v>0</v>
      </c>
      <c r="F22" s="110">
        <v>0</v>
      </c>
      <c r="G22" s="36">
        <v>8.1389999999999993</v>
      </c>
      <c r="H22" s="36">
        <v>8.6010000000000009</v>
      </c>
      <c r="I22" s="60">
        <v>9.4209999999999994</v>
      </c>
      <c r="J22" s="36">
        <f>AVERAGE(G22:I22)</f>
        <v>8.7203333333333344</v>
      </c>
      <c r="K22" s="36">
        <f>AVERAGE(H22:J22)</f>
        <v>8.9141111111111115</v>
      </c>
      <c r="L22" s="36">
        <f>AVERAGE(I22:K22)</f>
        <v>9.0184814814814818</v>
      </c>
      <c r="M22" s="36">
        <f>AVERAGE(J22:L22)</f>
        <v>8.8843086419753092</v>
      </c>
      <c r="N22" s="199">
        <f>AVERAGE(K22:M22)</f>
        <v>8.9389670781893003</v>
      </c>
    </row>
    <row r="23" spans="2:23" x14ac:dyDescent="0.25">
      <c r="B23" s="100"/>
      <c r="C23" s="114"/>
      <c r="D23" s="39"/>
      <c r="E23" s="39"/>
      <c r="F23" s="45"/>
      <c r="G23" s="45"/>
      <c r="H23" s="45"/>
      <c r="I23" s="301"/>
      <c r="J23" s="44"/>
      <c r="K23" s="44"/>
      <c r="L23" s="44"/>
      <c r="M23" s="44"/>
      <c r="N23" s="287"/>
    </row>
    <row r="24" spans="2:23" x14ac:dyDescent="0.25">
      <c r="B24" s="100"/>
      <c r="C24" s="113" t="s">
        <v>32</v>
      </c>
      <c r="D24" s="39"/>
      <c r="E24" s="110">
        <v>0</v>
      </c>
      <c r="F24" s="110">
        <v>0</v>
      </c>
      <c r="G24" s="110">
        <f>G25*G$16</f>
        <v>285.06479999999999</v>
      </c>
      <c r="H24" s="110">
        <f>H25*H$16</f>
        <v>245.53199999999998</v>
      </c>
      <c r="I24" s="300">
        <f>I25*I$16</f>
        <v>224.60639999999998</v>
      </c>
      <c r="J24" s="42">
        <f>J$16*J25</f>
        <v>235.08920000000001</v>
      </c>
      <c r="K24" s="42">
        <f t="shared" ref="K24" si="11">K$16*K25</f>
        <v>231.99493333333334</v>
      </c>
      <c r="L24" s="42">
        <f t="shared" ref="L24" si="12">L$16*L25</f>
        <v>235.80666666666667</v>
      </c>
      <c r="M24" s="42">
        <f t="shared" ref="M24" si="13">M$16*M25</f>
        <v>237.48888888888888</v>
      </c>
      <c r="N24" s="285">
        <f t="shared" ref="N24" si="14">N$16*N25</f>
        <v>239.29040987654318</v>
      </c>
    </row>
    <row r="25" spans="2:23" x14ac:dyDescent="0.25">
      <c r="B25" s="100"/>
      <c r="C25" s="112" t="s">
        <v>30</v>
      </c>
      <c r="D25" s="35"/>
      <c r="E25" s="110">
        <v>0</v>
      </c>
      <c r="F25" s="110">
        <v>0</v>
      </c>
      <c r="G25" s="36">
        <v>2.8969999999999998</v>
      </c>
      <c r="H25" s="36">
        <v>2.59</v>
      </c>
      <c r="I25" s="60">
        <v>2.5640000000000001</v>
      </c>
      <c r="J25" s="36">
        <f>AVERAGE(G25:I25)</f>
        <v>2.6836666666666669</v>
      </c>
      <c r="K25" s="36">
        <f>AVERAGE(H25:J25)</f>
        <v>2.6125555555555557</v>
      </c>
      <c r="L25" s="36">
        <f>AVERAGE(I25:K25)</f>
        <v>2.6200740740740742</v>
      </c>
      <c r="M25" s="36">
        <f>AVERAGE(J25:L25)</f>
        <v>2.6387654320987655</v>
      </c>
      <c r="N25" s="199">
        <f>AVERAGE(K25:M25)</f>
        <v>2.6237983539094647</v>
      </c>
    </row>
    <row r="26" spans="2:23" x14ac:dyDescent="0.25">
      <c r="B26" s="100"/>
      <c r="C26" s="114"/>
      <c r="D26" s="39"/>
      <c r="E26" s="39"/>
      <c r="F26" s="36"/>
      <c r="G26" s="40"/>
      <c r="H26" s="40"/>
      <c r="I26" s="302"/>
      <c r="J26" s="44"/>
      <c r="K26" s="44"/>
      <c r="L26" s="44"/>
      <c r="M26" s="44"/>
      <c r="N26" s="287"/>
    </row>
    <row r="27" spans="2:23" x14ac:dyDescent="0.25">
      <c r="B27" s="100"/>
      <c r="C27" s="113" t="s">
        <v>33</v>
      </c>
      <c r="D27" s="38"/>
      <c r="E27" s="110">
        <v>0</v>
      </c>
      <c r="F27" s="110">
        <v>0</v>
      </c>
      <c r="G27" s="110">
        <f>G28*G$16</f>
        <v>1021.9824</v>
      </c>
      <c r="H27" s="110">
        <f>H28*H$16</f>
        <v>1037.2067999999999</v>
      </c>
      <c r="I27" s="300">
        <f>I28*I$16</f>
        <v>947.56919999999991</v>
      </c>
      <c r="J27" s="42">
        <f>J$16*J28</f>
        <v>938.60479999999984</v>
      </c>
      <c r="K27" s="42">
        <f t="shared" ref="K27" si="15">K$16*K28</f>
        <v>961.19093333333342</v>
      </c>
      <c r="L27" s="42">
        <f t="shared" ref="L27" si="16">L$16*L28</f>
        <v>970.67666666666673</v>
      </c>
      <c r="M27" s="42">
        <f t="shared" ref="M27" si="17">M$16*M28</f>
        <v>969.72555555555562</v>
      </c>
      <c r="N27" s="285">
        <f t="shared" ref="N27" si="18">N$16*N28</f>
        <v>984.48110617283953</v>
      </c>
    </row>
    <row r="28" spans="2:23" x14ac:dyDescent="0.25">
      <c r="B28" s="100"/>
      <c r="C28" s="112" t="s">
        <v>30</v>
      </c>
      <c r="D28" s="38"/>
      <c r="E28" s="110">
        <v>0</v>
      </c>
      <c r="F28" s="110">
        <v>0</v>
      </c>
      <c r="G28" s="36">
        <v>10.385999999999999</v>
      </c>
      <c r="H28" s="36">
        <v>10.941000000000001</v>
      </c>
      <c r="I28" s="60">
        <v>10.817</v>
      </c>
      <c r="J28" s="36">
        <f>AVERAGE(G28:I28)</f>
        <v>10.714666666666666</v>
      </c>
      <c r="K28" s="36">
        <f>AVERAGE(H28:J28)</f>
        <v>10.824222222222224</v>
      </c>
      <c r="L28" s="36">
        <f>AVERAGE(I28:K28)</f>
        <v>10.785296296296297</v>
      </c>
      <c r="M28" s="36">
        <f>AVERAGE(J28:L28)</f>
        <v>10.774728395061729</v>
      </c>
      <c r="N28" s="199">
        <f>AVERAGE(K28:M28)</f>
        <v>10.794748971193416</v>
      </c>
    </row>
    <row r="29" spans="2:23" x14ac:dyDescent="0.25">
      <c r="B29" s="100"/>
      <c r="C29" s="114"/>
      <c r="D29" s="39"/>
      <c r="E29" s="39"/>
      <c r="F29" s="36"/>
      <c r="G29" s="40"/>
      <c r="H29" s="40"/>
      <c r="I29" s="302"/>
      <c r="J29" s="43"/>
      <c r="K29" s="43"/>
      <c r="L29" s="43"/>
      <c r="M29" s="43"/>
      <c r="N29" s="288"/>
    </row>
    <row r="30" spans="2:23" x14ac:dyDescent="0.25">
      <c r="B30" s="100"/>
      <c r="C30" s="35" t="s">
        <v>34</v>
      </c>
      <c r="D30" s="35"/>
      <c r="E30" s="110">
        <v>0</v>
      </c>
      <c r="F30" s="110">
        <v>0</v>
      </c>
      <c r="G30" s="110">
        <f>G31*G$16</f>
        <v>0</v>
      </c>
      <c r="H30" s="110">
        <f>H31*H$16</f>
        <v>0</v>
      </c>
      <c r="I30" s="300">
        <f>I31*I$16</f>
        <v>154.70159999999998</v>
      </c>
      <c r="J30" s="42">
        <f>J$16*J31</f>
        <v>154.70159999999998</v>
      </c>
      <c r="K30" s="42">
        <f t="shared" ref="K30" si="19">K$16*K31</f>
        <v>156.82079999999999</v>
      </c>
      <c r="L30" s="42">
        <f t="shared" ref="L30" si="20">L$16*L31</f>
        <v>158.94</v>
      </c>
      <c r="M30" s="42">
        <f t="shared" ref="M30" si="21">M$16*M31</f>
        <v>158.94</v>
      </c>
      <c r="N30" s="285">
        <f t="shared" ref="N30" si="22">N$16*N31</f>
        <v>161.0592</v>
      </c>
    </row>
    <row r="31" spans="2:23" x14ac:dyDescent="0.25">
      <c r="B31" s="100"/>
      <c r="C31" s="112" t="s">
        <v>30</v>
      </c>
      <c r="D31" s="35"/>
      <c r="E31" s="110">
        <v>0</v>
      </c>
      <c r="F31" s="110">
        <v>0</v>
      </c>
      <c r="G31" s="110">
        <v>0</v>
      </c>
      <c r="H31" s="110">
        <v>0</v>
      </c>
      <c r="I31" s="60">
        <v>1.766</v>
      </c>
      <c r="J31" s="36">
        <f>I31</f>
        <v>1.766</v>
      </c>
      <c r="K31" s="36">
        <f>J31</f>
        <v>1.766</v>
      </c>
      <c r="L31" s="36">
        <f>K31</f>
        <v>1.766</v>
      </c>
      <c r="M31" s="36">
        <f>L31</f>
        <v>1.766</v>
      </c>
      <c r="N31" s="199">
        <f>M31</f>
        <v>1.766</v>
      </c>
    </row>
    <row r="32" spans="2:23" x14ac:dyDescent="0.25">
      <c r="B32" s="100"/>
      <c r="C32" s="114"/>
      <c r="D32" s="39"/>
      <c r="E32" s="39"/>
      <c r="F32" s="40"/>
      <c r="G32" s="81"/>
      <c r="H32" s="81"/>
      <c r="I32" s="256"/>
      <c r="J32" s="44"/>
      <c r="K32" s="44"/>
      <c r="L32" s="44"/>
      <c r="M32" s="44"/>
      <c r="N32" s="287"/>
    </row>
    <row r="33" spans="2:14" x14ac:dyDescent="0.25">
      <c r="B33" s="100"/>
      <c r="C33" s="35" t="s">
        <v>35</v>
      </c>
      <c r="D33" s="35"/>
      <c r="E33" s="110">
        <v>0</v>
      </c>
      <c r="F33" s="110">
        <v>0</v>
      </c>
      <c r="G33" s="110">
        <f>G34*G$16</f>
        <v>474.38639999999998</v>
      </c>
      <c r="H33" s="110">
        <f>H34*H$16</f>
        <v>443.4744</v>
      </c>
      <c r="I33" s="300">
        <f>I34*I$16</f>
        <v>406.37639999999999</v>
      </c>
      <c r="J33" s="42">
        <f>J$16*J34</f>
        <v>412.82959999999997</v>
      </c>
      <c r="K33" s="42">
        <f t="shared" ref="K33" si="23">K$16*K34</f>
        <v>415.27813333333336</v>
      </c>
      <c r="L33" s="42">
        <f t="shared" ref="L33" si="24">L$16*L34</f>
        <v>420.84666666666664</v>
      </c>
      <c r="M33" s="42">
        <f t="shared" ref="M33" si="25">M$16*M34</f>
        <v>421.95888888888885</v>
      </c>
      <c r="N33" s="285">
        <f t="shared" ref="N33" si="26">N$16*N34</f>
        <v>426.84827654320981</v>
      </c>
    </row>
    <row r="34" spans="2:14" x14ac:dyDescent="0.25">
      <c r="B34" s="100"/>
      <c r="C34" s="112" t="s">
        <v>30</v>
      </c>
      <c r="D34" s="35"/>
      <c r="E34" s="110">
        <v>0</v>
      </c>
      <c r="F34" s="110">
        <v>0</v>
      </c>
      <c r="G34" s="36">
        <v>4.8209999999999997</v>
      </c>
      <c r="H34" s="36">
        <v>4.6779999999999999</v>
      </c>
      <c r="I34" s="60">
        <v>4.6390000000000002</v>
      </c>
      <c r="J34" s="36">
        <f>AVERAGE(G34:I34)</f>
        <v>4.7126666666666663</v>
      </c>
      <c r="K34" s="36">
        <f t="shared" ref="K34:M34" si="27">AVERAGE(H34:J34)</f>
        <v>4.6765555555555558</v>
      </c>
      <c r="L34" s="36">
        <f t="shared" si="27"/>
        <v>4.6760740740740738</v>
      </c>
      <c r="M34" s="36">
        <f t="shared" si="27"/>
        <v>4.688432098765432</v>
      </c>
      <c r="N34" s="199">
        <f>AVERAGE(K34:M34)</f>
        <v>4.6803539094650199</v>
      </c>
    </row>
    <row r="35" spans="2:14" x14ac:dyDescent="0.25">
      <c r="B35" s="100"/>
      <c r="C35" s="114"/>
      <c r="D35" s="35"/>
      <c r="E35" s="110"/>
      <c r="F35" s="110"/>
      <c r="G35" s="110"/>
      <c r="H35" s="110"/>
      <c r="I35" s="303"/>
      <c r="J35" s="35"/>
      <c r="K35" s="35"/>
      <c r="L35" s="35"/>
      <c r="M35" s="35"/>
      <c r="N35" s="99"/>
    </row>
    <row r="36" spans="2:14" x14ac:dyDescent="0.25">
      <c r="B36" s="100"/>
      <c r="C36" s="35" t="s">
        <v>36</v>
      </c>
      <c r="D36" s="35"/>
      <c r="E36" s="110">
        <v>0</v>
      </c>
      <c r="F36" s="110">
        <v>0</v>
      </c>
      <c r="G36" s="110">
        <f>G37*G$16</f>
        <v>0</v>
      </c>
      <c r="H36" s="110">
        <f>H37*H$16</f>
        <v>0</v>
      </c>
      <c r="I36" s="300">
        <f>I37*I$16</f>
        <v>300.20519999999999</v>
      </c>
      <c r="J36" s="42">
        <f>J$16*J37</f>
        <v>300.20519999999999</v>
      </c>
      <c r="K36" s="42">
        <f t="shared" ref="K36" si="28">K$16*K37</f>
        <v>304.31759999999997</v>
      </c>
      <c r="L36" s="42">
        <f t="shared" ref="L36" si="29">L$16*L37</f>
        <v>308.43</v>
      </c>
      <c r="M36" s="42">
        <f t="shared" ref="M36" si="30">M$16*M37</f>
        <v>308.43</v>
      </c>
      <c r="N36" s="285">
        <f t="shared" ref="N36" si="31">N$16*N37</f>
        <v>312.54239999999999</v>
      </c>
    </row>
    <row r="37" spans="2:14" x14ac:dyDescent="0.25">
      <c r="B37" s="100"/>
      <c r="C37" s="112" t="s">
        <v>30</v>
      </c>
      <c r="D37" s="35"/>
      <c r="E37" s="110">
        <v>0</v>
      </c>
      <c r="F37" s="110">
        <v>0</v>
      </c>
      <c r="G37" s="110">
        <v>0</v>
      </c>
      <c r="H37" s="110">
        <v>0</v>
      </c>
      <c r="I37" s="60">
        <v>3.427</v>
      </c>
      <c r="J37" s="36">
        <f>I37</f>
        <v>3.427</v>
      </c>
      <c r="K37" s="36">
        <f>J37</f>
        <v>3.427</v>
      </c>
      <c r="L37" s="36">
        <f>K37</f>
        <v>3.427</v>
      </c>
      <c r="M37" s="36">
        <f>L37</f>
        <v>3.427</v>
      </c>
      <c r="N37" s="199">
        <f>M37</f>
        <v>3.427</v>
      </c>
    </row>
    <row r="38" spans="2:14" x14ac:dyDescent="0.25">
      <c r="B38" s="100"/>
      <c r="C38" s="114"/>
      <c r="D38" s="35"/>
      <c r="E38" s="35"/>
      <c r="F38" s="35"/>
      <c r="G38" s="35"/>
      <c r="H38" s="35"/>
      <c r="I38" s="303"/>
      <c r="J38" s="35"/>
      <c r="K38" s="35"/>
      <c r="L38" s="35"/>
      <c r="M38" s="35"/>
      <c r="N38" s="99"/>
    </row>
    <row r="39" spans="2:14" x14ac:dyDescent="0.25">
      <c r="B39" s="100"/>
      <c r="C39" s="35" t="s">
        <v>37</v>
      </c>
      <c r="D39" s="35"/>
      <c r="E39" s="115">
        <v>0</v>
      </c>
      <c r="F39" s="115">
        <v>0</v>
      </c>
      <c r="G39" s="110">
        <f>G40*G$16</f>
        <v>358.66800000000001</v>
      </c>
      <c r="H39" s="110">
        <f>H40*H$16</f>
        <v>310.75439999999998</v>
      </c>
      <c r="I39" s="300">
        <f>I40*I$16</f>
        <v>306.24959999999999</v>
      </c>
      <c r="J39" s="42">
        <f>J$16*J40</f>
        <v>304.23480000000001</v>
      </c>
      <c r="K39" s="42">
        <f t="shared" ref="K39" si="32">K$16*K40</f>
        <v>303.31119999999999</v>
      </c>
      <c r="L39" s="42">
        <f t="shared" ref="L39" si="33">L$16*L40</f>
        <v>311.54000000000002</v>
      </c>
      <c r="M39" s="42">
        <f t="shared" ref="M39" si="34">M$16*M40</f>
        <v>310.50666666666666</v>
      </c>
      <c r="N39" s="285">
        <f t="shared" ref="N39" si="35">N$16*N40</f>
        <v>313.94980740740743</v>
      </c>
    </row>
    <row r="40" spans="2:14" x14ac:dyDescent="0.25">
      <c r="B40" s="100"/>
      <c r="C40" s="112" t="s">
        <v>30</v>
      </c>
      <c r="D40" s="35"/>
      <c r="E40" s="115">
        <v>0</v>
      </c>
      <c r="F40" s="115">
        <v>0</v>
      </c>
      <c r="G40" s="36">
        <v>3.645</v>
      </c>
      <c r="H40" s="36">
        <v>3.278</v>
      </c>
      <c r="I40" s="60">
        <v>3.496</v>
      </c>
      <c r="J40" s="36">
        <f>AVERAGE(G40:I40)</f>
        <v>3.4730000000000003</v>
      </c>
      <c r="K40" s="36">
        <f>AVERAGE(H40:J40)</f>
        <v>3.4156666666666666</v>
      </c>
      <c r="L40" s="36">
        <f>AVERAGE(I40:K40)</f>
        <v>3.4615555555555559</v>
      </c>
      <c r="M40" s="36">
        <f>AVERAGE(J40:L40)</f>
        <v>3.4500740740740743</v>
      </c>
      <c r="N40" s="199">
        <f>AVERAGE(K40:M40)</f>
        <v>3.442432098765432</v>
      </c>
    </row>
    <row r="41" spans="2:14" x14ac:dyDescent="0.25">
      <c r="B41" s="100"/>
      <c r="C41" s="112"/>
      <c r="D41" s="35"/>
      <c r="E41" s="35"/>
      <c r="F41" s="35"/>
      <c r="G41" s="110"/>
      <c r="H41" s="110"/>
      <c r="I41" s="300"/>
      <c r="J41" s="35"/>
      <c r="K41" s="35"/>
      <c r="L41" s="35"/>
      <c r="M41" s="35"/>
      <c r="N41" s="99"/>
    </row>
    <row r="42" spans="2:14" x14ac:dyDescent="0.25">
      <c r="B42" s="100"/>
      <c r="C42" s="73" t="s">
        <v>38</v>
      </c>
      <c r="D42" s="35"/>
      <c r="E42" s="36">
        <v>921</v>
      </c>
      <c r="F42" s="36">
        <v>1111</v>
      </c>
      <c r="G42" s="110">
        <f>G45*G46</f>
        <v>1121.6988000000001</v>
      </c>
      <c r="H42" s="110">
        <f>H45*H46</f>
        <v>1393.6476000000002</v>
      </c>
      <c r="I42" s="300">
        <f>I45*I46</f>
        <v>1526.2956000000001</v>
      </c>
      <c r="J42" s="110">
        <f t="shared" ref="J42:N42" si="36">J45*J46</f>
        <v>1609.6402515397783</v>
      </c>
      <c r="K42" s="110">
        <f t="shared" si="36"/>
        <v>1735.4924070496647</v>
      </c>
      <c r="L42" s="110">
        <f t="shared" si="36"/>
        <v>1861.4182930693462</v>
      </c>
      <c r="M42" s="110">
        <f t="shared" si="36"/>
        <v>1987.4179095988225</v>
      </c>
      <c r="N42" s="198">
        <f t="shared" si="36"/>
        <v>2113.4912566380935</v>
      </c>
    </row>
    <row r="43" spans="2:14" x14ac:dyDescent="0.25">
      <c r="B43" s="100"/>
      <c r="C43" s="73"/>
      <c r="D43" s="35"/>
      <c r="E43" s="35"/>
      <c r="F43" s="35"/>
      <c r="G43" s="35"/>
      <c r="H43" s="35"/>
      <c r="I43" s="303"/>
      <c r="J43" s="35"/>
      <c r="K43" s="35"/>
      <c r="L43" s="35"/>
      <c r="M43" s="35"/>
      <c r="N43" s="99"/>
    </row>
    <row r="44" spans="2:14" x14ac:dyDescent="0.25">
      <c r="B44" s="100"/>
      <c r="C44" s="35" t="s">
        <v>39</v>
      </c>
      <c r="D44" s="35"/>
      <c r="E44" s="115">
        <v>0</v>
      </c>
      <c r="F44" s="115">
        <v>0</v>
      </c>
      <c r="G44" s="36">
        <v>9.0760000000000005</v>
      </c>
      <c r="H44" s="36">
        <v>11.007999999999999</v>
      </c>
      <c r="I44" s="60">
        <v>11.842000000000001</v>
      </c>
      <c r="J44" s="36">
        <f>I44+1</f>
        <v>12.842000000000001</v>
      </c>
      <c r="K44" s="36">
        <f>J44+1</f>
        <v>13.842000000000001</v>
      </c>
      <c r="L44" s="36">
        <f>K44+1</f>
        <v>14.842000000000001</v>
      </c>
      <c r="M44" s="36">
        <f>L44+1</f>
        <v>15.842000000000001</v>
      </c>
      <c r="N44" s="199">
        <f>M44+1</f>
        <v>16.841999999999999</v>
      </c>
    </row>
    <row r="45" spans="2:14" x14ac:dyDescent="0.25">
      <c r="B45" s="100"/>
      <c r="C45" s="35" t="s">
        <v>40</v>
      </c>
      <c r="D45" s="35"/>
      <c r="E45" s="115">
        <v>0</v>
      </c>
      <c r="F45" s="115">
        <v>0</v>
      </c>
      <c r="G45" s="36">
        <v>3.3029999999999999</v>
      </c>
      <c r="H45" s="36">
        <v>4.133</v>
      </c>
      <c r="I45" s="60">
        <v>4.3410000000000002</v>
      </c>
      <c r="J45" s="36">
        <f>J44*J47</f>
        <v>4.7342360339405243</v>
      </c>
      <c r="K45" s="36">
        <f t="shared" ref="K45:N45" si="37">K44*K47</f>
        <v>5.1028885829158028</v>
      </c>
      <c r="L45" s="36">
        <f t="shared" si="37"/>
        <v>5.4715411318910814</v>
      </c>
      <c r="M45" s="36">
        <f t="shared" si="37"/>
        <v>5.840193680866359</v>
      </c>
      <c r="N45" s="199">
        <f t="shared" si="37"/>
        <v>6.2088462298416367</v>
      </c>
    </row>
    <row r="46" spans="2:14" x14ac:dyDescent="0.25">
      <c r="B46" s="100"/>
      <c r="C46" s="35" t="s">
        <v>41</v>
      </c>
      <c r="D46" s="35"/>
      <c r="E46" s="115">
        <v>0</v>
      </c>
      <c r="F46" s="115">
        <v>0</v>
      </c>
      <c r="G46" s="36">
        <v>339.6</v>
      </c>
      <c r="H46" s="36">
        <v>337.20000000000005</v>
      </c>
      <c r="I46" s="60">
        <v>351.6</v>
      </c>
      <c r="J46" s="118">
        <f>Assumptions!E12</f>
        <v>340</v>
      </c>
      <c r="K46" s="118">
        <f>Assumptions!F12</f>
        <v>340.1</v>
      </c>
      <c r="L46" s="118">
        <f>Assumptions!G12</f>
        <v>340.20000000000005</v>
      </c>
      <c r="M46" s="118">
        <f>Assumptions!H12</f>
        <v>340.30000000000007</v>
      </c>
      <c r="N46" s="286">
        <f>Assumptions!I12</f>
        <v>340.40000000000009</v>
      </c>
    </row>
    <row r="47" spans="2:14" x14ac:dyDescent="0.25">
      <c r="B47" s="100"/>
      <c r="C47" s="35" t="s">
        <v>42</v>
      </c>
      <c r="D47" s="35"/>
      <c r="E47" s="115">
        <v>0</v>
      </c>
      <c r="F47" s="115">
        <v>0</v>
      </c>
      <c r="G47" s="140">
        <v>0.36392684001762893</v>
      </c>
      <c r="H47" s="140">
        <v>0.37545421511627908</v>
      </c>
      <c r="I47" s="297">
        <v>0.36657659179192703</v>
      </c>
      <c r="J47" s="289">
        <f>AVERAGE(G47:I47)</f>
        <v>0.36865254897527833</v>
      </c>
      <c r="K47" s="289">
        <f>J47</f>
        <v>0.36865254897527833</v>
      </c>
      <c r="L47" s="289">
        <f>K47</f>
        <v>0.36865254897527833</v>
      </c>
      <c r="M47" s="289">
        <f>L47</f>
        <v>0.36865254897527833</v>
      </c>
      <c r="N47" s="290">
        <f>M47</f>
        <v>0.36865254897527833</v>
      </c>
    </row>
    <row r="48" spans="2:14" x14ac:dyDescent="0.25">
      <c r="B48" s="100"/>
      <c r="C48" s="35"/>
      <c r="D48" s="35"/>
      <c r="E48" s="35"/>
      <c r="F48" s="35"/>
      <c r="G48" s="35"/>
      <c r="H48" s="35"/>
      <c r="I48" s="303"/>
      <c r="J48" s="35"/>
      <c r="K48" s="35"/>
      <c r="L48" s="35"/>
      <c r="M48" s="35"/>
      <c r="N48" s="99"/>
    </row>
    <row r="49" spans="1:14" x14ac:dyDescent="0.25">
      <c r="B49" s="101"/>
      <c r="C49" s="313" t="s">
        <v>43</v>
      </c>
      <c r="D49" s="62"/>
      <c r="E49" s="67">
        <v>1239</v>
      </c>
      <c r="F49" s="67">
        <v>923</v>
      </c>
      <c r="G49" s="67">
        <v>1040.5147999999999</v>
      </c>
      <c r="H49" s="67">
        <v>897.35080000000016</v>
      </c>
      <c r="I49" s="68">
        <v>947.19480000000021</v>
      </c>
      <c r="J49" s="67">
        <f>I49</f>
        <v>947.19480000000021</v>
      </c>
      <c r="K49" s="67">
        <f>J49</f>
        <v>947.19480000000021</v>
      </c>
      <c r="L49" s="67">
        <f>K49</f>
        <v>947.19480000000021</v>
      </c>
      <c r="M49" s="67">
        <f>L49</f>
        <v>947.19480000000021</v>
      </c>
      <c r="N49" s="314">
        <f>M49</f>
        <v>947.19480000000021</v>
      </c>
    </row>
    <row r="50" spans="1:14" x14ac:dyDescent="0.25">
      <c r="B50" s="100"/>
      <c r="C50" s="35"/>
      <c r="D50" s="35"/>
      <c r="E50" s="35"/>
      <c r="F50" s="35"/>
      <c r="G50" s="35"/>
      <c r="H50" s="35"/>
      <c r="I50" s="303"/>
      <c r="J50" s="35"/>
      <c r="K50" s="35"/>
      <c r="L50" s="35"/>
      <c r="M50" s="35"/>
      <c r="N50" s="99"/>
    </row>
    <row r="51" spans="1:14" x14ac:dyDescent="0.25">
      <c r="A51" s="32" t="s">
        <v>449</v>
      </c>
      <c r="B51" s="98" t="s">
        <v>44</v>
      </c>
      <c r="C51" s="35"/>
      <c r="D51" s="35"/>
      <c r="E51" s="37">
        <f t="shared" ref="E51:N51" si="38">E53</f>
        <v>370</v>
      </c>
      <c r="F51" s="37">
        <f t="shared" si="38"/>
        <v>396</v>
      </c>
      <c r="G51" s="37">
        <f t="shared" si="38"/>
        <v>370.33199999999999</v>
      </c>
      <c r="H51" s="37">
        <f t="shared" si="38"/>
        <v>396.98879999999997</v>
      </c>
      <c r="I51" s="296">
        <f t="shared" si="38"/>
        <v>380.58</v>
      </c>
      <c r="J51" s="82">
        <f t="shared" si="38"/>
        <v>380.68000000000006</v>
      </c>
      <c r="K51" s="82">
        <f t="shared" si="38"/>
        <v>381.90800000000007</v>
      </c>
      <c r="L51" s="82">
        <f t="shared" si="38"/>
        <v>383.13600000000008</v>
      </c>
      <c r="M51" s="82">
        <f t="shared" si="38"/>
        <v>384.36400000000009</v>
      </c>
      <c r="N51" s="83">
        <f t="shared" si="38"/>
        <v>385.5920000000001</v>
      </c>
    </row>
    <row r="52" spans="1:14" x14ac:dyDescent="0.25">
      <c r="B52" s="98"/>
      <c r="C52" s="35"/>
      <c r="D52" s="35"/>
      <c r="E52" s="35"/>
      <c r="F52" s="35"/>
      <c r="G52" s="35"/>
      <c r="H52" s="35"/>
      <c r="I52" s="303"/>
      <c r="J52" s="35"/>
      <c r="K52" s="35"/>
      <c r="L52" s="35"/>
      <c r="M52" s="35"/>
      <c r="N52" s="99"/>
    </row>
    <row r="53" spans="1:14" x14ac:dyDescent="0.25">
      <c r="B53" s="100"/>
      <c r="C53" s="73" t="s">
        <v>27</v>
      </c>
      <c r="D53" s="35"/>
      <c r="E53" s="36">
        <v>370</v>
      </c>
      <c r="F53" s="36">
        <v>396</v>
      </c>
      <c r="G53" s="37">
        <f t="shared" ref="G53:N53" si="39">G56</f>
        <v>370.33199999999999</v>
      </c>
      <c r="H53" s="37">
        <f t="shared" si="39"/>
        <v>396.98879999999997</v>
      </c>
      <c r="I53" s="296">
        <f t="shared" si="39"/>
        <v>380.58</v>
      </c>
      <c r="J53" s="82">
        <f t="shared" si="39"/>
        <v>380.68000000000006</v>
      </c>
      <c r="K53" s="82">
        <f t="shared" si="39"/>
        <v>381.90800000000007</v>
      </c>
      <c r="L53" s="82">
        <f t="shared" si="39"/>
        <v>383.13600000000008</v>
      </c>
      <c r="M53" s="82">
        <f t="shared" si="39"/>
        <v>384.36400000000009</v>
      </c>
      <c r="N53" s="83">
        <f t="shared" si="39"/>
        <v>385.5920000000001</v>
      </c>
    </row>
    <row r="54" spans="1:14" x14ac:dyDescent="0.25">
      <c r="B54" s="100"/>
      <c r="C54" s="73" t="s">
        <v>28</v>
      </c>
      <c r="D54" s="35"/>
      <c r="E54" s="115">
        <v>0</v>
      </c>
      <c r="F54" s="115">
        <v>0</v>
      </c>
      <c r="G54" s="36">
        <v>32.4</v>
      </c>
      <c r="H54" s="36">
        <v>31.2</v>
      </c>
      <c r="I54" s="60">
        <v>30</v>
      </c>
      <c r="J54" s="118">
        <f>Assumptions!E17</f>
        <v>31</v>
      </c>
      <c r="K54" s="118">
        <f>Assumptions!F17</f>
        <v>31.1</v>
      </c>
      <c r="L54" s="118">
        <f>Assumptions!G17</f>
        <v>31.200000000000003</v>
      </c>
      <c r="M54" s="118">
        <f>Assumptions!H17</f>
        <v>31.300000000000004</v>
      </c>
      <c r="N54" s="286">
        <f>Assumptions!I17</f>
        <v>31.400000000000006</v>
      </c>
    </row>
    <row r="55" spans="1:14" x14ac:dyDescent="0.25">
      <c r="B55" s="100"/>
      <c r="C55" s="73"/>
      <c r="D55" s="35"/>
      <c r="E55" s="35"/>
      <c r="F55" s="35"/>
      <c r="G55" s="35"/>
      <c r="H55" s="35"/>
      <c r="I55" s="303"/>
      <c r="J55" s="35"/>
      <c r="K55" s="35"/>
      <c r="L55" s="35"/>
      <c r="M55" s="35"/>
      <c r="N55" s="99"/>
    </row>
    <row r="56" spans="1:14" x14ac:dyDescent="0.25">
      <c r="B56" s="100"/>
      <c r="C56" s="35" t="s">
        <v>45</v>
      </c>
      <c r="D56" s="35"/>
      <c r="E56" s="36">
        <v>370</v>
      </c>
      <c r="F56" s="36">
        <v>396</v>
      </c>
      <c r="G56" s="110">
        <f t="shared" ref="G56:N56" si="40">G57*G54</f>
        <v>370.33199999999999</v>
      </c>
      <c r="H56" s="110">
        <f t="shared" si="40"/>
        <v>396.98879999999997</v>
      </c>
      <c r="I56" s="300">
        <f t="shared" si="40"/>
        <v>380.58</v>
      </c>
      <c r="J56" s="110">
        <f t="shared" si="40"/>
        <v>380.68000000000006</v>
      </c>
      <c r="K56" s="110">
        <f t="shared" si="40"/>
        <v>381.90800000000007</v>
      </c>
      <c r="L56" s="110">
        <f t="shared" si="40"/>
        <v>383.13600000000008</v>
      </c>
      <c r="M56" s="110">
        <f t="shared" si="40"/>
        <v>384.36400000000009</v>
      </c>
      <c r="N56" s="198">
        <f t="shared" si="40"/>
        <v>385.5920000000001</v>
      </c>
    </row>
    <row r="57" spans="1:14" ht="16.5" thickBot="1" x14ac:dyDescent="0.3">
      <c r="B57" s="209"/>
      <c r="C57" s="291" t="s">
        <v>30</v>
      </c>
      <c r="D57" s="34"/>
      <c r="E57" s="292">
        <v>0</v>
      </c>
      <c r="F57" s="292">
        <v>0</v>
      </c>
      <c r="G57" s="293">
        <v>11.43</v>
      </c>
      <c r="H57" s="293">
        <v>12.724</v>
      </c>
      <c r="I57" s="304">
        <v>12.686</v>
      </c>
      <c r="J57" s="293">
        <f>AVERAGE(G57:I57)</f>
        <v>12.280000000000001</v>
      </c>
      <c r="K57" s="293">
        <f>J57</f>
        <v>12.280000000000001</v>
      </c>
      <c r="L57" s="293">
        <f t="shared" ref="L57:N57" si="41">K57</f>
        <v>12.280000000000001</v>
      </c>
      <c r="M57" s="293">
        <f t="shared" si="41"/>
        <v>12.280000000000001</v>
      </c>
      <c r="N57" s="294">
        <f t="shared" si="41"/>
        <v>12.280000000000001</v>
      </c>
    </row>
    <row r="59" spans="1:14" x14ac:dyDescent="0.25">
      <c r="C59" s="33"/>
    </row>
    <row r="71" s="109" customFormat="1" x14ac:dyDescent="0.25"/>
    <row r="73" s="109" customFormat="1" x14ac:dyDescent="0.25"/>
    <row r="75" s="109" customFormat="1" x14ac:dyDescent="0.25"/>
  </sheetData>
  <pageMargins left="0.7" right="0.7" top="0.75" bottom="0.75" header="0.3" footer="0.3"/>
  <ignoredErrors>
    <ignoredError sqref="J47 J57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744E-2549-42C0-A16C-489CDDC34C6F}">
  <sheetPr>
    <tabColor rgb="FF92D050"/>
  </sheetPr>
  <dimension ref="B2:R20"/>
  <sheetViews>
    <sheetView showGridLines="0" workbookViewId="0"/>
  </sheetViews>
  <sheetFormatPr defaultColWidth="8.875" defaultRowHeight="15.75" x14ac:dyDescent="0.25"/>
  <cols>
    <col min="2" max="2" width="3.125" customWidth="1"/>
    <col min="3" max="3" width="27.5" customWidth="1"/>
    <col min="4" max="9" width="15" customWidth="1"/>
  </cols>
  <sheetData>
    <row r="2" spans="2:18" x14ac:dyDescent="0.25">
      <c r="B2" s="33" t="s">
        <v>46</v>
      </c>
      <c r="C2" s="32"/>
      <c r="D2" s="32"/>
      <c r="E2" s="32"/>
      <c r="F2" s="32"/>
      <c r="G2" s="32"/>
      <c r="H2" s="32"/>
      <c r="I2" s="32"/>
    </row>
    <row r="3" spans="2:18" ht="16.5" thickBot="1" x14ac:dyDescent="0.3">
      <c r="B3" s="34"/>
      <c r="C3" s="34" t="s">
        <v>1</v>
      </c>
      <c r="D3" s="34"/>
      <c r="E3" s="34"/>
      <c r="F3" s="34"/>
      <c r="G3" s="34"/>
      <c r="H3" s="34"/>
      <c r="I3" s="34"/>
    </row>
    <row r="4" spans="2:18" ht="16.5" thickBot="1" x14ac:dyDescent="0.3"/>
    <row r="5" spans="2:18" ht="16.5" thickBot="1" x14ac:dyDescent="0.3">
      <c r="B5" s="46" t="s">
        <v>455</v>
      </c>
      <c r="C5" s="47"/>
      <c r="D5" s="74"/>
      <c r="E5" s="51" t="s">
        <v>8</v>
      </c>
      <c r="F5" s="51" t="s">
        <v>9</v>
      </c>
      <c r="G5" s="51" t="s">
        <v>10</v>
      </c>
      <c r="H5" s="51" t="s">
        <v>11</v>
      </c>
      <c r="I5" s="52" t="s">
        <v>12</v>
      </c>
      <c r="L5" s="117" t="s">
        <v>47</v>
      </c>
      <c r="M5" s="116">
        <v>2</v>
      </c>
      <c r="N5" s="32"/>
      <c r="O5" s="32"/>
      <c r="P5" s="32"/>
      <c r="Q5" s="32"/>
      <c r="R5" s="32"/>
    </row>
    <row r="6" spans="2:18" ht="16.5" thickBot="1" x14ac:dyDescent="0.3">
      <c r="B6" s="295" t="s">
        <v>13</v>
      </c>
      <c r="C6" s="93"/>
      <c r="D6" s="93"/>
      <c r="E6" s="95" t="s">
        <v>17</v>
      </c>
      <c r="F6" s="95" t="s">
        <v>18</v>
      </c>
      <c r="G6" s="95" t="s">
        <v>19</v>
      </c>
      <c r="H6" s="95" t="s">
        <v>20</v>
      </c>
      <c r="I6" s="244" t="s">
        <v>21</v>
      </c>
      <c r="L6" s="136" t="s">
        <v>48</v>
      </c>
      <c r="M6" s="99">
        <v>1</v>
      </c>
      <c r="N6" s="32"/>
      <c r="O6" s="32"/>
    </row>
    <row r="7" spans="2:18" x14ac:dyDescent="0.25">
      <c r="B7" s="80" t="s">
        <v>49</v>
      </c>
      <c r="C7" s="81"/>
      <c r="D7" s="81"/>
      <c r="E7" s="81">
        <f>CHOOSE($M$5,E8,E9,E10)</f>
        <v>87.6</v>
      </c>
      <c r="F7" s="81">
        <f t="shared" ref="F7:I7" si="0">CHOOSE($M$5,F8,F9,F10)</f>
        <v>88.8</v>
      </c>
      <c r="G7" s="81">
        <f t="shared" si="0"/>
        <v>90</v>
      </c>
      <c r="H7" s="81">
        <f t="shared" si="0"/>
        <v>90</v>
      </c>
      <c r="I7" s="122">
        <f t="shared" si="0"/>
        <v>91.2</v>
      </c>
      <c r="L7" s="137" t="s">
        <v>50</v>
      </c>
      <c r="M7" s="99">
        <v>2</v>
      </c>
      <c r="N7" s="32"/>
      <c r="O7" s="32"/>
    </row>
    <row r="8" spans="2:18" ht="16.5" thickBot="1" x14ac:dyDescent="0.3">
      <c r="B8" s="80"/>
      <c r="C8" s="56" t="s">
        <v>48</v>
      </c>
      <c r="D8" s="81"/>
      <c r="E8" s="315">
        <v>85.2</v>
      </c>
      <c r="F8" s="315">
        <v>85.2</v>
      </c>
      <c r="G8" s="315">
        <v>85.2</v>
      </c>
      <c r="H8" s="315">
        <v>87.6</v>
      </c>
      <c r="I8" s="316">
        <v>87.6</v>
      </c>
      <c r="L8" s="138" t="s">
        <v>51</v>
      </c>
      <c r="M8" s="108">
        <v>3</v>
      </c>
      <c r="N8" s="32"/>
      <c r="O8" s="32"/>
    </row>
    <row r="9" spans="2:18" x14ac:dyDescent="0.25">
      <c r="B9" s="80"/>
      <c r="C9" s="56" t="s">
        <v>50</v>
      </c>
      <c r="D9" s="81"/>
      <c r="E9" s="315">
        <v>87.6</v>
      </c>
      <c r="F9" s="315">
        <v>88.8</v>
      </c>
      <c r="G9" s="315">
        <v>90</v>
      </c>
      <c r="H9" s="315">
        <v>90</v>
      </c>
      <c r="I9" s="316">
        <v>91.2</v>
      </c>
      <c r="L9" s="32"/>
      <c r="M9" s="32"/>
      <c r="N9" s="32"/>
      <c r="O9" s="32"/>
    </row>
    <row r="10" spans="2:18" x14ac:dyDescent="0.25">
      <c r="B10" s="80"/>
      <c r="C10" s="56" t="s">
        <v>51</v>
      </c>
      <c r="D10" s="81"/>
      <c r="E10" s="315">
        <v>87.6</v>
      </c>
      <c r="F10" s="315">
        <v>90</v>
      </c>
      <c r="G10" s="315">
        <v>91.2</v>
      </c>
      <c r="H10" s="315">
        <v>91.2</v>
      </c>
      <c r="I10" s="316">
        <v>92.4</v>
      </c>
      <c r="N10" s="32"/>
      <c r="O10" s="32"/>
    </row>
    <row r="11" spans="2:18" x14ac:dyDescent="0.25">
      <c r="B11" s="80"/>
      <c r="C11" s="81"/>
      <c r="D11" s="81"/>
      <c r="E11" s="81"/>
      <c r="F11" s="81"/>
      <c r="G11" s="81"/>
      <c r="H11" s="81"/>
      <c r="I11" s="122"/>
    </row>
    <row r="12" spans="2:18" x14ac:dyDescent="0.25">
      <c r="B12" s="80" t="s">
        <v>52</v>
      </c>
      <c r="C12" s="81"/>
      <c r="D12" s="81"/>
      <c r="E12" s="81">
        <f>CHOOSE($M$5,E13,E14,E15)</f>
        <v>340</v>
      </c>
      <c r="F12" s="81">
        <f t="shared" ref="F12" si="1">CHOOSE($M$5,F13,F14,F15)</f>
        <v>340.1</v>
      </c>
      <c r="G12" s="81">
        <f t="shared" ref="G12" si="2">CHOOSE($M$5,G13,G14,G15)</f>
        <v>340.20000000000005</v>
      </c>
      <c r="H12" s="81">
        <f t="shared" ref="H12" si="3">CHOOSE($M$5,H13,H14,H15)</f>
        <v>340.30000000000007</v>
      </c>
      <c r="I12" s="122">
        <f t="shared" ref="I12" si="4">CHOOSE($M$5,I13,I14,I15)</f>
        <v>340.40000000000009</v>
      </c>
    </row>
    <row r="13" spans="2:18" x14ac:dyDescent="0.25">
      <c r="B13" s="80"/>
      <c r="C13" s="56" t="s">
        <v>48</v>
      </c>
      <c r="D13" s="81"/>
      <c r="E13" s="317">
        <v>335</v>
      </c>
      <c r="F13" s="317">
        <f t="shared" ref="F13:I15" si="5">E13+0.1</f>
        <v>335.1</v>
      </c>
      <c r="G13" s="317">
        <f t="shared" si="5"/>
        <v>335.20000000000005</v>
      </c>
      <c r="H13" s="317">
        <f t="shared" si="5"/>
        <v>335.30000000000007</v>
      </c>
      <c r="I13" s="318">
        <f t="shared" si="5"/>
        <v>335.40000000000009</v>
      </c>
    </row>
    <row r="14" spans="2:18" x14ac:dyDescent="0.25">
      <c r="B14" s="80"/>
      <c r="C14" s="56" t="s">
        <v>50</v>
      </c>
      <c r="D14" s="81"/>
      <c r="E14" s="317">
        <v>340</v>
      </c>
      <c r="F14" s="317">
        <f t="shared" si="5"/>
        <v>340.1</v>
      </c>
      <c r="G14" s="317">
        <f t="shared" si="5"/>
        <v>340.20000000000005</v>
      </c>
      <c r="H14" s="317">
        <f t="shared" si="5"/>
        <v>340.30000000000007</v>
      </c>
      <c r="I14" s="318">
        <f t="shared" si="5"/>
        <v>340.40000000000009</v>
      </c>
    </row>
    <row r="15" spans="2:18" x14ac:dyDescent="0.25">
      <c r="B15" s="80"/>
      <c r="C15" s="56" t="s">
        <v>51</v>
      </c>
      <c r="D15" s="81"/>
      <c r="E15" s="317">
        <v>351.6</v>
      </c>
      <c r="F15" s="317">
        <f t="shared" si="5"/>
        <v>351.70000000000005</v>
      </c>
      <c r="G15" s="317">
        <f t="shared" si="5"/>
        <v>351.80000000000007</v>
      </c>
      <c r="H15" s="317">
        <f t="shared" si="5"/>
        <v>351.90000000000009</v>
      </c>
      <c r="I15" s="318">
        <f t="shared" si="5"/>
        <v>352.00000000000011</v>
      </c>
    </row>
    <row r="16" spans="2:18" x14ac:dyDescent="0.25">
      <c r="B16" s="80"/>
      <c r="C16" s="81"/>
      <c r="D16" s="81"/>
      <c r="E16" s="81"/>
      <c r="F16" s="81"/>
      <c r="G16" s="81"/>
      <c r="H16" s="81"/>
      <c r="I16" s="122"/>
    </row>
    <row r="17" spans="2:9" x14ac:dyDescent="0.25">
      <c r="B17" s="80" t="s">
        <v>53</v>
      </c>
      <c r="C17" s="81"/>
      <c r="D17" s="81"/>
      <c r="E17" s="81">
        <f>CHOOSE($M$5,E18,E19,E20)</f>
        <v>31</v>
      </c>
      <c r="F17" s="81">
        <f t="shared" ref="F17:I17" si="6">CHOOSE($M$5,F18,F19,F20)</f>
        <v>31.1</v>
      </c>
      <c r="G17" s="81">
        <f t="shared" si="6"/>
        <v>31.200000000000003</v>
      </c>
      <c r="H17" s="81">
        <f t="shared" si="6"/>
        <v>31.300000000000004</v>
      </c>
      <c r="I17" s="122">
        <f t="shared" si="6"/>
        <v>31.400000000000006</v>
      </c>
    </row>
    <row r="18" spans="2:9" x14ac:dyDescent="0.25">
      <c r="B18" s="80"/>
      <c r="C18" s="56" t="s">
        <v>48</v>
      </c>
      <c r="D18" s="81"/>
      <c r="E18" s="317">
        <v>30</v>
      </c>
      <c r="F18" s="317">
        <v>30</v>
      </c>
      <c r="G18" s="317">
        <v>30</v>
      </c>
      <c r="H18" s="317">
        <v>30</v>
      </c>
      <c r="I18" s="318">
        <v>30</v>
      </c>
    </row>
    <row r="19" spans="2:9" x14ac:dyDescent="0.25">
      <c r="B19" s="80"/>
      <c r="C19" s="56" t="s">
        <v>50</v>
      </c>
      <c r="D19" s="81"/>
      <c r="E19" s="317">
        <v>31</v>
      </c>
      <c r="F19" s="317">
        <f t="shared" ref="F19:I20" si="7">E19+0.1</f>
        <v>31.1</v>
      </c>
      <c r="G19" s="317">
        <f t="shared" si="7"/>
        <v>31.200000000000003</v>
      </c>
      <c r="H19" s="317">
        <f t="shared" si="7"/>
        <v>31.300000000000004</v>
      </c>
      <c r="I19" s="318">
        <f t="shared" si="7"/>
        <v>31.400000000000006</v>
      </c>
    </row>
    <row r="20" spans="2:9" ht="16.5" thickBot="1" x14ac:dyDescent="0.3">
      <c r="B20" s="84"/>
      <c r="C20" s="245" t="s">
        <v>51</v>
      </c>
      <c r="D20" s="85"/>
      <c r="E20" s="319">
        <v>32</v>
      </c>
      <c r="F20" s="319">
        <f t="shared" si="7"/>
        <v>32.1</v>
      </c>
      <c r="G20" s="319">
        <f t="shared" si="7"/>
        <v>32.200000000000003</v>
      </c>
      <c r="H20" s="319">
        <f t="shared" si="7"/>
        <v>32.300000000000004</v>
      </c>
      <c r="I20" s="320">
        <f t="shared" si="7"/>
        <v>32.400000000000006</v>
      </c>
    </row>
  </sheetData>
  <dataValidations count="1">
    <dataValidation type="list" allowBlank="1" showInputMessage="1" showErrorMessage="1" sqref="M5" xr:uid="{2C9F78D6-7EA9-8A43-B221-FAAD0DA4D0AA}">
      <formula1>"1,2,3"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F201-4862-424A-B729-9D3B58C18285}">
  <sheetPr>
    <tabColor rgb="FF92D050"/>
  </sheetPr>
  <dimension ref="A2:N29"/>
  <sheetViews>
    <sheetView showGridLines="0" workbookViewId="0"/>
  </sheetViews>
  <sheetFormatPr defaultColWidth="9" defaultRowHeight="15.75" x14ac:dyDescent="0.25"/>
  <cols>
    <col min="1" max="1" width="9" style="32"/>
    <col min="2" max="2" width="3.125" style="32" customWidth="1"/>
    <col min="3" max="3" width="31.125" style="32" customWidth="1"/>
    <col min="4" max="4" width="12.5" style="32" customWidth="1"/>
    <col min="5" max="14" width="15" style="32" customWidth="1"/>
    <col min="15" max="16384" width="9" style="32"/>
  </cols>
  <sheetData>
    <row r="2" spans="1:14" x14ac:dyDescent="0.25">
      <c r="B2" s="33" t="s">
        <v>54</v>
      </c>
    </row>
    <row r="3" spans="1:14" ht="16.5" thickBot="1" x14ac:dyDescent="0.3">
      <c r="B3" s="34"/>
      <c r="C3" s="34" t="s">
        <v>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 ht="16.5" thickBot="1" x14ac:dyDescent="0.3"/>
    <row r="5" spans="1:14" x14ac:dyDescent="0.25">
      <c r="A5" s="32" t="s">
        <v>449</v>
      </c>
      <c r="B5" s="46" t="s">
        <v>2</v>
      </c>
      <c r="C5" s="47"/>
      <c r="D5" s="74"/>
      <c r="E5" s="51" t="s">
        <v>3</v>
      </c>
      <c r="F5" s="51" t="s">
        <v>4</v>
      </c>
      <c r="G5" s="51" t="s">
        <v>5</v>
      </c>
      <c r="H5" s="51" t="s">
        <v>6</v>
      </c>
      <c r="I5" s="51" t="s">
        <v>7</v>
      </c>
      <c r="J5" s="51" t="s">
        <v>8</v>
      </c>
      <c r="K5" s="51" t="s">
        <v>9</v>
      </c>
      <c r="L5" s="51" t="s">
        <v>10</v>
      </c>
      <c r="M5" s="51" t="s">
        <v>11</v>
      </c>
      <c r="N5" s="52" t="s">
        <v>12</v>
      </c>
    </row>
    <row r="6" spans="1:14" ht="16.5" thickBot="1" x14ac:dyDescent="0.3">
      <c r="B6" s="92"/>
      <c r="C6" s="93" t="s">
        <v>13</v>
      </c>
      <c r="D6" s="93"/>
      <c r="E6" s="94">
        <v>42369</v>
      </c>
      <c r="F6" s="94">
        <v>42735</v>
      </c>
      <c r="G6" s="95" t="s">
        <v>14</v>
      </c>
      <c r="H6" s="95" t="s">
        <v>15</v>
      </c>
      <c r="I6" s="95" t="s">
        <v>16</v>
      </c>
      <c r="J6" s="95" t="s">
        <v>17</v>
      </c>
      <c r="K6" s="95" t="s">
        <v>18</v>
      </c>
      <c r="L6" s="95" t="s">
        <v>19</v>
      </c>
      <c r="M6" s="95" t="s">
        <v>20</v>
      </c>
      <c r="N6" s="244" t="s">
        <v>21</v>
      </c>
    </row>
    <row r="7" spans="1:14" x14ac:dyDescent="0.25">
      <c r="A7" s="32" t="s">
        <v>449</v>
      </c>
      <c r="B7" s="98" t="s">
        <v>22</v>
      </c>
      <c r="C7" s="35"/>
      <c r="D7" s="35"/>
      <c r="E7" s="78">
        <f>'Revenue Build'!E11</f>
        <v>6572</v>
      </c>
      <c r="F7" s="78">
        <f>'Revenue Build'!F11</f>
        <v>3874</v>
      </c>
      <c r="G7" s="78">
        <f>'Revenue Build'!G11</f>
        <v>3919.3320000000003</v>
      </c>
      <c r="H7" s="78">
        <f>'Revenue Build'!H11</f>
        <v>3944.9888000000001</v>
      </c>
      <c r="I7" s="78">
        <f>'Revenue Build'!I11</f>
        <v>4335.58</v>
      </c>
      <c r="J7" s="321">
        <f>'Revenue Build'!J11</f>
        <v>4343.9797399844965</v>
      </c>
      <c r="K7" s="322">
        <f>'Revenue Build'!K11</f>
        <v>4493.8382852708455</v>
      </c>
      <c r="L7" s="322">
        <f>'Revenue Build'!L11</f>
        <v>4639.8278742726388</v>
      </c>
      <c r="M7" s="322">
        <f>'Revenue Build'!M11</f>
        <v>4729.2438309454319</v>
      </c>
      <c r="N7" s="323">
        <f>'Revenue Build'!N11</f>
        <v>4870.2729151287294</v>
      </c>
    </row>
    <row r="8" spans="1:14" x14ac:dyDescent="0.25">
      <c r="B8" s="100"/>
      <c r="C8" s="56" t="s">
        <v>23</v>
      </c>
      <c r="D8" s="56"/>
      <c r="E8" s="56"/>
      <c r="F8" s="57">
        <f>F7/E7-1</f>
        <v>-0.41052951917224589</v>
      </c>
      <c r="G8" s="57">
        <f t="shared" ref="G8:I8" si="0">G7/F7-1</f>
        <v>1.1701600413009938E-2</v>
      </c>
      <c r="H8" s="57">
        <f t="shared" si="0"/>
        <v>6.5462175697286185E-3</v>
      </c>
      <c r="I8" s="57">
        <f t="shared" si="0"/>
        <v>9.9009457263858458E-2</v>
      </c>
      <c r="J8" s="181">
        <f>J7/I7-1</f>
        <v>1.9373970690188536E-3</v>
      </c>
      <c r="K8" s="57">
        <f>K7/J7-1</f>
        <v>3.4497984395959413E-2</v>
      </c>
      <c r="L8" s="57">
        <f>L7/K7-1</f>
        <v>3.2486613833055289E-2</v>
      </c>
      <c r="M8" s="57">
        <f>M7/L7-1</f>
        <v>1.9271395210282538E-2</v>
      </c>
      <c r="N8" s="194">
        <f>N7/M7-1</f>
        <v>2.9820641359298294E-2</v>
      </c>
    </row>
    <row r="9" spans="1:14" x14ac:dyDescent="0.25">
      <c r="B9" s="100"/>
      <c r="C9" s="35" t="s">
        <v>55</v>
      </c>
      <c r="D9" s="35"/>
      <c r="E9" s="36">
        <v>1793</v>
      </c>
      <c r="F9" s="36">
        <v>1175</v>
      </c>
      <c r="G9" s="36">
        <v>1169</v>
      </c>
      <c r="H9" s="36">
        <v>1117</v>
      </c>
      <c r="I9" s="36">
        <v>1201</v>
      </c>
      <c r="J9" s="180">
        <f>J7*J10</f>
        <v>1194.6388543999226</v>
      </c>
      <c r="K9" s="82">
        <f>K7*K10</f>
        <v>1213.3822955314636</v>
      </c>
      <c r="L9" s="82">
        <f>L7*L10</f>
        <v>1229.6018382268974</v>
      </c>
      <c r="M9" s="82">
        <f>M7*M10</f>
        <v>1229.6517620479306</v>
      </c>
      <c r="N9" s="83">
        <f>N7*N10</f>
        <v>1241.9694016651474</v>
      </c>
    </row>
    <row r="10" spans="1:14" x14ac:dyDescent="0.25">
      <c r="B10" s="101"/>
      <c r="C10" s="61" t="s">
        <v>56</v>
      </c>
      <c r="D10" s="61"/>
      <c r="E10" s="62"/>
      <c r="F10" s="63">
        <f>F9/F7</f>
        <v>0.30330407847186369</v>
      </c>
      <c r="G10" s="63">
        <f t="shared" ref="G10:I10" si="1">G9/G7</f>
        <v>0.29826511252427707</v>
      </c>
      <c r="H10" s="63">
        <f t="shared" si="1"/>
        <v>0.28314402312118098</v>
      </c>
      <c r="I10" s="64">
        <f t="shared" si="1"/>
        <v>0.27701022700538336</v>
      </c>
      <c r="J10" s="324">
        <f>I10-0.002</f>
        <v>0.27501022700538336</v>
      </c>
      <c r="K10" s="325">
        <f>J10-0.005</f>
        <v>0.27001022700538335</v>
      </c>
      <c r="L10" s="325">
        <f t="shared" ref="L10:N10" si="2">K10-0.005</f>
        <v>0.26501022700538335</v>
      </c>
      <c r="M10" s="325">
        <f t="shared" si="2"/>
        <v>0.26001022700538334</v>
      </c>
      <c r="N10" s="326">
        <f t="shared" si="2"/>
        <v>0.25501022700538334</v>
      </c>
    </row>
    <row r="11" spans="1:14" x14ac:dyDescent="0.25">
      <c r="A11" s="32" t="s">
        <v>449</v>
      </c>
      <c r="B11" s="102" t="s">
        <v>57</v>
      </c>
      <c r="C11" s="65"/>
      <c r="D11" s="65"/>
      <c r="E11" s="66">
        <f>E7-E9</f>
        <v>4779</v>
      </c>
      <c r="F11" s="66">
        <f t="shared" ref="F11:I11" si="3">F7-F9</f>
        <v>2699</v>
      </c>
      <c r="G11" s="66">
        <f t="shared" si="3"/>
        <v>2750.3320000000003</v>
      </c>
      <c r="H11" s="66">
        <f t="shared" si="3"/>
        <v>2827.9888000000001</v>
      </c>
      <c r="I11" s="66">
        <f t="shared" si="3"/>
        <v>3134.58</v>
      </c>
      <c r="J11" s="327">
        <f>J7-J9</f>
        <v>3149.3408855845737</v>
      </c>
      <c r="K11" s="328">
        <f>K7-K9</f>
        <v>3280.4559897393819</v>
      </c>
      <c r="L11" s="328">
        <f>L7-L9</f>
        <v>3410.2260360457412</v>
      </c>
      <c r="M11" s="328">
        <f>M7-M9</f>
        <v>3499.5920688975011</v>
      </c>
      <c r="N11" s="329">
        <f>N7-N9</f>
        <v>3628.303513463582</v>
      </c>
    </row>
    <row r="12" spans="1:14" x14ac:dyDescent="0.25">
      <c r="B12" s="103" t="s">
        <v>58</v>
      </c>
      <c r="C12" s="35"/>
      <c r="D12" s="35"/>
      <c r="E12" s="57">
        <f>E11/E7</f>
        <v>0.72717589774802194</v>
      </c>
      <c r="F12" s="57">
        <f t="shared" ref="F12:I12" si="4">F11/F7</f>
        <v>0.69669592152813631</v>
      </c>
      <c r="G12" s="57">
        <f t="shared" si="4"/>
        <v>0.70173488747572288</v>
      </c>
      <c r="H12" s="57">
        <f t="shared" si="4"/>
        <v>0.71685597687881908</v>
      </c>
      <c r="I12" s="57">
        <f t="shared" si="4"/>
        <v>0.72298977299461664</v>
      </c>
      <c r="J12" s="181">
        <f>J11/J7</f>
        <v>0.72498977299461653</v>
      </c>
      <c r="K12" s="57">
        <f>K11/K7</f>
        <v>0.72998977299461665</v>
      </c>
      <c r="L12" s="57">
        <f>L11/L7</f>
        <v>0.73498977299461654</v>
      </c>
      <c r="M12" s="57">
        <f>M11/M7</f>
        <v>0.73998977299461655</v>
      </c>
      <c r="N12" s="194">
        <f>N11/N7</f>
        <v>0.74498977299461666</v>
      </c>
    </row>
    <row r="13" spans="1:14" x14ac:dyDescent="0.25">
      <c r="B13" s="100"/>
      <c r="C13" s="35" t="s">
        <v>59</v>
      </c>
      <c r="D13" s="35"/>
      <c r="E13" s="55">
        <f>E14+E16+E18</f>
        <v>3881</v>
      </c>
      <c r="F13" s="55">
        <f t="shared" ref="F13:N13" si="5">F14+F16+F18</f>
        <v>2480</v>
      </c>
      <c r="G13" s="55">
        <f t="shared" si="5"/>
        <v>2326</v>
      </c>
      <c r="H13" s="55">
        <f t="shared" si="5"/>
        <v>2355</v>
      </c>
      <c r="I13" s="55">
        <f t="shared" si="5"/>
        <v>2687</v>
      </c>
      <c r="J13" s="179">
        <f t="shared" si="5"/>
        <v>2647.4181211492842</v>
      </c>
      <c r="K13" s="55">
        <f t="shared" si="5"/>
        <v>2723.0202761838241</v>
      </c>
      <c r="L13" s="55">
        <f t="shared" si="5"/>
        <v>2795.2425867958336</v>
      </c>
      <c r="M13" s="55">
        <f t="shared" si="5"/>
        <v>2832.5584579862793</v>
      </c>
      <c r="N13" s="196">
        <f t="shared" si="5"/>
        <v>2899.9812126881843</v>
      </c>
    </row>
    <row r="14" spans="1:14" x14ac:dyDescent="0.25">
      <c r="B14" s="100"/>
      <c r="C14" s="35" t="s">
        <v>60</v>
      </c>
      <c r="D14" s="35"/>
      <c r="E14" s="36">
        <v>2590</v>
      </c>
      <c r="F14" s="36">
        <v>1627</v>
      </c>
      <c r="G14" s="36">
        <v>1531</v>
      </c>
      <c r="H14" s="36">
        <v>1566</v>
      </c>
      <c r="I14" s="60">
        <v>1588</v>
      </c>
      <c r="J14" s="180">
        <f>J15*J7</f>
        <v>1709.7333008514388</v>
      </c>
      <c r="K14" s="37">
        <f t="shared" ref="K14:N14" si="6">K15*K7</f>
        <v>1759.7279770149221</v>
      </c>
      <c r="L14" s="37">
        <f t="shared" si="6"/>
        <v>1807.6159245068843</v>
      </c>
      <c r="M14" s="37">
        <f t="shared" si="6"/>
        <v>1832.9927177145657</v>
      </c>
      <c r="N14" s="197">
        <f t="shared" si="6"/>
        <v>1877.9131903334799</v>
      </c>
    </row>
    <row r="15" spans="1:14" x14ac:dyDescent="0.25">
      <c r="B15" s="100"/>
      <c r="C15" s="56" t="s">
        <v>61</v>
      </c>
      <c r="D15" s="56"/>
      <c r="E15" s="57">
        <f>E14/E7</f>
        <v>0.39409616555082166</v>
      </c>
      <c r="F15" s="57">
        <f t="shared" ref="F15:I15" si="7">F14/F7</f>
        <v>0.41997934950955085</v>
      </c>
      <c r="G15" s="57">
        <f t="shared" si="7"/>
        <v>0.39062779065412162</v>
      </c>
      <c r="H15" s="57">
        <f t="shared" si="7"/>
        <v>0.39695930188699141</v>
      </c>
      <c r="I15" s="59">
        <f t="shared" si="7"/>
        <v>0.36627164070320467</v>
      </c>
      <c r="J15" s="182">
        <f>AVERAGE(E15:I15)</f>
        <v>0.39358684966093804</v>
      </c>
      <c r="K15" s="183">
        <f>J15-0.002</f>
        <v>0.39158684966093804</v>
      </c>
      <c r="L15" s="183">
        <f t="shared" ref="L15:N15" si="8">K15-0.002</f>
        <v>0.38958684966093804</v>
      </c>
      <c r="M15" s="183">
        <f t="shared" si="8"/>
        <v>0.38758684966093804</v>
      </c>
      <c r="N15" s="195">
        <f t="shared" si="8"/>
        <v>0.38558684966093804</v>
      </c>
    </row>
    <row r="16" spans="1:14" x14ac:dyDescent="0.25">
      <c r="B16" s="100"/>
      <c r="C16" s="35" t="s">
        <v>62</v>
      </c>
      <c r="D16" s="35"/>
      <c r="E16" s="36">
        <v>1281</v>
      </c>
      <c r="F16" s="36">
        <v>853</v>
      </c>
      <c r="G16" s="36">
        <v>812</v>
      </c>
      <c r="H16" s="36">
        <v>802</v>
      </c>
      <c r="I16" s="60">
        <v>1100</v>
      </c>
      <c r="J16" s="330">
        <f>J17*J7</f>
        <v>937.68482029784514</v>
      </c>
      <c r="K16" s="82">
        <f t="shared" ref="K16:N16" si="9">K17*K7</f>
        <v>963.29229916890188</v>
      </c>
      <c r="L16" s="82">
        <f t="shared" si="9"/>
        <v>987.62666228894909</v>
      </c>
      <c r="M16" s="82">
        <f t="shared" si="9"/>
        <v>999.56574027171348</v>
      </c>
      <c r="N16" s="83">
        <f t="shared" si="9"/>
        <v>1022.0680223547046</v>
      </c>
    </row>
    <row r="17" spans="1:14" x14ac:dyDescent="0.25">
      <c r="B17" s="100"/>
      <c r="C17" s="56" t="s">
        <v>61</v>
      </c>
      <c r="D17" s="56"/>
      <c r="E17" s="57">
        <f>E16/E7</f>
        <v>0.19491783323189288</v>
      </c>
      <c r="F17" s="57">
        <f t="shared" ref="F17:I17" si="10">F16/F7</f>
        <v>0.22018585441404234</v>
      </c>
      <c r="G17" s="57">
        <f t="shared" si="10"/>
        <v>0.20717816199291103</v>
      </c>
      <c r="H17" s="57">
        <f t="shared" si="10"/>
        <v>0.20329588768414247</v>
      </c>
      <c r="I17" s="59">
        <f t="shared" si="10"/>
        <v>0.2537146125777866</v>
      </c>
      <c r="J17" s="182">
        <f>AVERAGE(E17:I17)</f>
        <v>0.21585846998015504</v>
      </c>
      <c r="K17" s="183">
        <f>J17-0.0015</f>
        <v>0.21435846998015504</v>
      </c>
      <c r="L17" s="183">
        <f t="shared" ref="L17:N17" si="11">K17-0.0015</f>
        <v>0.21285846998015504</v>
      </c>
      <c r="M17" s="183">
        <f t="shared" si="11"/>
        <v>0.21135846998015503</v>
      </c>
      <c r="N17" s="195">
        <f t="shared" si="11"/>
        <v>0.20985846998015503</v>
      </c>
    </row>
    <row r="18" spans="1:14" x14ac:dyDescent="0.25">
      <c r="B18" s="100"/>
      <c r="C18" s="35" t="s">
        <v>63</v>
      </c>
      <c r="D18" s="35"/>
      <c r="E18" s="36">
        <v>10</v>
      </c>
      <c r="F18" s="36">
        <v>0</v>
      </c>
      <c r="G18" s="36">
        <v>-17</v>
      </c>
      <c r="H18" s="36">
        <v>-13</v>
      </c>
      <c r="I18" s="60">
        <v>-1</v>
      </c>
      <c r="J18" s="331">
        <f>J19*J7</f>
        <v>0</v>
      </c>
      <c r="K18" s="110">
        <f t="shared" ref="K18:N18" si="12">K19*K7</f>
        <v>0</v>
      </c>
      <c r="L18" s="110">
        <f t="shared" si="12"/>
        <v>0</v>
      </c>
      <c r="M18" s="110">
        <f t="shared" si="12"/>
        <v>0</v>
      </c>
      <c r="N18" s="198">
        <f t="shared" si="12"/>
        <v>0</v>
      </c>
    </row>
    <row r="19" spans="1:14" x14ac:dyDescent="0.25">
      <c r="B19" s="101"/>
      <c r="C19" s="61" t="s">
        <v>61</v>
      </c>
      <c r="D19" s="61"/>
      <c r="E19" s="63">
        <f>E18/E7</f>
        <v>1.5216068167985392E-3</v>
      </c>
      <c r="F19" s="63">
        <v>0</v>
      </c>
      <c r="G19" s="63">
        <f t="shared" ref="G19:I19" si="13">G18/G7</f>
        <v>-4.3374738348269546E-3</v>
      </c>
      <c r="H19" s="63">
        <f t="shared" si="13"/>
        <v>-3.2953198751793666E-3</v>
      </c>
      <c r="I19" s="64">
        <f t="shared" si="13"/>
        <v>-2.3064964779798781E-4</v>
      </c>
      <c r="J19" s="324">
        <v>0</v>
      </c>
      <c r="K19" s="325">
        <v>0</v>
      </c>
      <c r="L19" s="325">
        <v>0</v>
      </c>
      <c r="M19" s="325">
        <v>0</v>
      </c>
      <c r="N19" s="326">
        <v>0</v>
      </c>
    </row>
    <row r="20" spans="1:14" x14ac:dyDescent="0.25">
      <c r="A20" s="32" t="s">
        <v>449</v>
      </c>
      <c r="B20" s="102" t="s">
        <v>64</v>
      </c>
      <c r="C20" s="65"/>
      <c r="D20" s="65"/>
      <c r="E20" s="66">
        <f>E11-E13</f>
        <v>898</v>
      </c>
      <c r="F20" s="66">
        <f t="shared" ref="F20:H20" si="14">F11-F13</f>
        <v>219</v>
      </c>
      <c r="G20" s="66">
        <f t="shared" si="14"/>
        <v>424.33200000000033</v>
      </c>
      <c r="H20" s="66">
        <f t="shared" si="14"/>
        <v>472.98880000000008</v>
      </c>
      <c r="I20" s="66">
        <f>I11-I13</f>
        <v>447.57999999999993</v>
      </c>
      <c r="J20" s="332">
        <f>J11-J13</f>
        <v>501.92276443528954</v>
      </c>
      <c r="K20" s="66">
        <f t="shared" ref="K20:N20" si="15">K11-K13</f>
        <v>557.43571355555787</v>
      </c>
      <c r="L20" s="66">
        <f t="shared" si="15"/>
        <v>614.98344924990761</v>
      </c>
      <c r="M20" s="66">
        <f t="shared" si="15"/>
        <v>667.03361091122179</v>
      </c>
      <c r="N20" s="333">
        <f t="shared" si="15"/>
        <v>728.32230077539771</v>
      </c>
    </row>
    <row r="21" spans="1:14" x14ac:dyDescent="0.25">
      <c r="B21" s="100"/>
      <c r="C21" s="35" t="s">
        <v>65</v>
      </c>
      <c r="D21" s="35"/>
      <c r="E21" s="36">
        <v>-133</v>
      </c>
      <c r="F21" s="36">
        <v>49</v>
      </c>
      <c r="G21" s="36">
        <v>17</v>
      </c>
      <c r="H21" s="36">
        <v>-59</v>
      </c>
      <c r="I21" s="60">
        <v>41</v>
      </c>
      <c r="J21" s="334">
        <v>0</v>
      </c>
      <c r="K21" s="76">
        <v>0</v>
      </c>
      <c r="L21" s="76">
        <v>0</v>
      </c>
      <c r="M21" s="76">
        <v>0</v>
      </c>
      <c r="N21" s="104">
        <v>0</v>
      </c>
    </row>
    <row r="22" spans="1:14" x14ac:dyDescent="0.25">
      <c r="B22" s="100"/>
      <c r="C22" s="35" t="s">
        <v>66</v>
      </c>
      <c r="D22" s="35"/>
      <c r="E22" s="36">
        <v>-403</v>
      </c>
      <c r="F22" s="36">
        <v>-289</v>
      </c>
      <c r="G22" s="36">
        <v>-295</v>
      </c>
      <c r="H22" s="36">
        <v>-304</v>
      </c>
      <c r="I22" s="60">
        <v>-485</v>
      </c>
      <c r="J22" s="335">
        <f>WACC!C11*(WACC!D19-'S&amp;P - BS'!G51-'S&amp;P - BS'!G52)*-1</f>
        <v>-495.20030400000002</v>
      </c>
      <c r="K22" s="36">
        <f>J22</f>
        <v>-495.20030400000002</v>
      </c>
      <c r="L22" s="36">
        <f t="shared" ref="L22:M22" si="16">K22</f>
        <v>-495.20030400000002</v>
      </c>
      <c r="M22" s="36">
        <f t="shared" si="16"/>
        <v>-495.20030400000002</v>
      </c>
      <c r="N22" s="199">
        <f>M22</f>
        <v>-495.20030400000002</v>
      </c>
    </row>
    <row r="23" spans="1:14" x14ac:dyDescent="0.25">
      <c r="B23" s="101"/>
      <c r="C23" s="62" t="s">
        <v>67</v>
      </c>
      <c r="D23" s="62"/>
      <c r="E23" s="67">
        <v>-445</v>
      </c>
      <c r="F23" s="67">
        <v>-39</v>
      </c>
      <c r="G23" s="67">
        <v>9</v>
      </c>
      <c r="H23" s="67">
        <v>8</v>
      </c>
      <c r="I23" s="68">
        <v>213</v>
      </c>
      <c r="J23" s="336">
        <v>0</v>
      </c>
      <c r="K23" s="337">
        <v>0</v>
      </c>
      <c r="L23" s="337">
        <v>0</v>
      </c>
      <c r="M23" s="337">
        <v>0</v>
      </c>
      <c r="N23" s="338">
        <v>0</v>
      </c>
    </row>
    <row r="24" spans="1:14" x14ac:dyDescent="0.25">
      <c r="A24" s="32" t="s">
        <v>449</v>
      </c>
      <c r="B24" s="102" t="s">
        <v>68</v>
      </c>
      <c r="C24" s="65"/>
      <c r="D24" s="65"/>
      <c r="E24" s="69">
        <f>E20+E21+E22+E23</f>
        <v>-83</v>
      </c>
      <c r="F24" s="69">
        <f t="shared" ref="F24:H24" si="17">F20+F21+F22+F23</f>
        <v>-60</v>
      </c>
      <c r="G24" s="69">
        <f t="shared" si="17"/>
        <v>155.33200000000033</v>
      </c>
      <c r="H24" s="69">
        <f t="shared" si="17"/>
        <v>117.98880000000008</v>
      </c>
      <c r="I24" s="70">
        <f>I20+I21+I22+I23</f>
        <v>216.57999999999993</v>
      </c>
      <c r="J24" s="339">
        <f t="shared" ref="J24:N24" si="18">J20+J21+J22+J23</f>
        <v>6.7224604352895199</v>
      </c>
      <c r="K24" s="66">
        <f t="shared" si="18"/>
        <v>62.235409555557851</v>
      </c>
      <c r="L24" s="66">
        <f t="shared" si="18"/>
        <v>119.78314524990759</v>
      </c>
      <c r="M24" s="66">
        <f t="shared" si="18"/>
        <v>171.83330691122177</v>
      </c>
      <c r="N24" s="333">
        <f t="shared" si="18"/>
        <v>233.12199677539769</v>
      </c>
    </row>
    <row r="25" spans="1:14" x14ac:dyDescent="0.25">
      <c r="B25" s="100"/>
      <c r="C25" s="35" t="s">
        <v>69</v>
      </c>
      <c r="D25" s="35"/>
      <c r="E25" s="36">
        <v>278</v>
      </c>
      <c r="F25" s="36">
        <v>179</v>
      </c>
      <c r="G25" s="36">
        <v>162</v>
      </c>
      <c r="H25" s="36">
        <v>112</v>
      </c>
      <c r="I25" s="60">
        <v>120</v>
      </c>
      <c r="J25" s="331">
        <f>J24*J26</f>
        <v>5.7056610192790966</v>
      </c>
      <c r="K25" s="55">
        <f t="shared" ref="K25:N25" si="19">K24*K26</f>
        <v>52.822051351310513</v>
      </c>
      <c r="L25" s="55">
        <f t="shared" si="19"/>
        <v>101.66545853231335</v>
      </c>
      <c r="M25" s="55">
        <f t="shared" si="19"/>
        <v>145.84282205819409</v>
      </c>
      <c r="N25" s="196">
        <f t="shared" si="19"/>
        <v>197.86134891258888</v>
      </c>
    </row>
    <row r="26" spans="1:14" x14ac:dyDescent="0.25">
      <c r="B26" s="100"/>
      <c r="C26" s="56" t="s">
        <v>70</v>
      </c>
      <c r="D26" s="56"/>
      <c r="E26" s="57">
        <f>E25/E24</f>
        <v>-3.3493975903614457</v>
      </c>
      <c r="F26" s="57">
        <f t="shared" ref="F26:I26" si="20">F25/F24</f>
        <v>-2.9833333333333334</v>
      </c>
      <c r="G26" s="57">
        <f t="shared" si="20"/>
        <v>1.0429274071022046</v>
      </c>
      <c r="H26" s="57">
        <f t="shared" si="20"/>
        <v>0.94924263997938718</v>
      </c>
      <c r="I26" s="59">
        <f t="shared" si="20"/>
        <v>0.55406778095853748</v>
      </c>
      <c r="J26" s="182">
        <f>AVERAGE(G26:I26)</f>
        <v>0.84874594268004311</v>
      </c>
      <c r="K26" s="183">
        <f>J26</f>
        <v>0.84874594268004311</v>
      </c>
      <c r="L26" s="183">
        <f t="shared" ref="L26:N26" si="21">K26</f>
        <v>0.84874594268004311</v>
      </c>
      <c r="M26" s="183">
        <f t="shared" si="21"/>
        <v>0.84874594268004311</v>
      </c>
      <c r="N26" s="195">
        <f t="shared" si="21"/>
        <v>0.84874594268004311</v>
      </c>
    </row>
    <row r="27" spans="1:14" x14ac:dyDescent="0.25">
      <c r="B27" s="100"/>
      <c r="C27" s="58" t="s">
        <v>71</v>
      </c>
      <c r="D27" s="58"/>
      <c r="E27" s="36">
        <v>-83</v>
      </c>
      <c r="F27" s="36">
        <v>-20</v>
      </c>
      <c r="G27" s="36">
        <v>60</v>
      </c>
      <c r="H27" s="36">
        <v>-33</v>
      </c>
      <c r="I27" s="60">
        <v>57</v>
      </c>
      <c r="J27" s="334">
        <v>0</v>
      </c>
      <c r="K27" s="76">
        <v>0</v>
      </c>
      <c r="L27" s="76">
        <v>0</v>
      </c>
      <c r="M27" s="76">
        <v>0</v>
      </c>
      <c r="N27" s="104">
        <v>0</v>
      </c>
    </row>
    <row r="28" spans="1:14" x14ac:dyDescent="0.25">
      <c r="B28" s="101"/>
      <c r="C28" s="71" t="s">
        <v>72</v>
      </c>
      <c r="D28" s="71"/>
      <c r="E28" s="67">
        <v>-115</v>
      </c>
      <c r="F28" s="67">
        <v>58</v>
      </c>
      <c r="G28" s="67">
        <v>17</v>
      </c>
      <c r="H28" s="67">
        <v>16</v>
      </c>
      <c r="I28" s="68">
        <v>-5</v>
      </c>
      <c r="J28" s="336">
        <v>0</v>
      </c>
      <c r="K28" s="337">
        <v>0</v>
      </c>
      <c r="L28" s="337">
        <v>0</v>
      </c>
      <c r="M28" s="337">
        <v>0</v>
      </c>
      <c r="N28" s="338">
        <v>0</v>
      </c>
    </row>
    <row r="29" spans="1:14" ht="16.5" thickBot="1" x14ac:dyDescent="0.3">
      <c r="A29" s="32" t="s">
        <v>449</v>
      </c>
      <c r="B29" s="105" t="s">
        <v>73</v>
      </c>
      <c r="C29" s="34"/>
      <c r="D29" s="34"/>
      <c r="E29" s="106">
        <f>E24-E25+E27+E28</f>
        <v>-559</v>
      </c>
      <c r="F29" s="106">
        <f t="shared" ref="F29:N29" si="22">F24-F25+F27+F28</f>
        <v>-201</v>
      </c>
      <c r="G29" s="106">
        <f t="shared" si="22"/>
        <v>70.332000000000335</v>
      </c>
      <c r="H29" s="106">
        <f t="shared" si="22"/>
        <v>-11.011199999999917</v>
      </c>
      <c r="I29" s="107">
        <f t="shared" si="22"/>
        <v>148.57999999999993</v>
      </c>
      <c r="J29" s="200">
        <f t="shared" si="22"/>
        <v>1.0167994160104232</v>
      </c>
      <c r="K29" s="201">
        <f t="shared" si="22"/>
        <v>9.4133582042473378</v>
      </c>
      <c r="L29" s="201">
        <f t="shared" si="22"/>
        <v>18.117686717594239</v>
      </c>
      <c r="M29" s="201">
        <f t="shared" si="22"/>
        <v>25.990484853027681</v>
      </c>
      <c r="N29" s="202">
        <f t="shared" si="22"/>
        <v>35.26064786280881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002A-7081-427B-A9A2-1E6B1A9EF404}">
  <sheetPr>
    <tabColor rgb="FF92D050"/>
  </sheetPr>
  <dimension ref="A2:N70"/>
  <sheetViews>
    <sheetView showGridLines="0" zoomScaleNormal="100" workbookViewId="0"/>
  </sheetViews>
  <sheetFormatPr defaultColWidth="8.875" defaultRowHeight="15.75" x14ac:dyDescent="0.25"/>
  <cols>
    <col min="2" max="2" width="3.125" customWidth="1"/>
    <col min="3" max="3" width="31.125" customWidth="1"/>
    <col min="4" max="4" width="12.5" customWidth="1"/>
    <col min="5" max="14" width="15" customWidth="1"/>
  </cols>
  <sheetData>
    <row r="2" spans="1:14" x14ac:dyDescent="0.25">
      <c r="B2" s="33" t="s">
        <v>74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ht="16.5" thickBot="1" x14ac:dyDescent="0.3">
      <c r="B3" s="34"/>
      <c r="C3" s="34" t="s">
        <v>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 ht="16.5" thickBot="1" x14ac:dyDescent="0.3"/>
    <row r="5" spans="1:14" x14ac:dyDescent="0.25">
      <c r="A5" t="s">
        <v>449</v>
      </c>
      <c r="B5" s="46" t="s">
        <v>2</v>
      </c>
      <c r="C5" s="47"/>
      <c r="D5" s="74"/>
      <c r="E5" s="51" t="s">
        <v>3</v>
      </c>
      <c r="F5" s="51" t="s">
        <v>4</v>
      </c>
      <c r="G5" s="51" t="s">
        <v>5</v>
      </c>
      <c r="H5" s="51" t="s">
        <v>6</v>
      </c>
      <c r="I5" s="89" t="s">
        <v>7</v>
      </c>
      <c r="J5" s="51" t="s">
        <v>8</v>
      </c>
      <c r="K5" s="51" t="s">
        <v>9</v>
      </c>
      <c r="L5" s="51" t="s">
        <v>10</v>
      </c>
      <c r="M5" s="51" t="s">
        <v>11</v>
      </c>
      <c r="N5" s="52" t="s">
        <v>12</v>
      </c>
    </row>
    <row r="6" spans="1:14" ht="16.5" thickBot="1" x14ac:dyDescent="0.3">
      <c r="B6" s="92"/>
      <c r="C6" s="93" t="s">
        <v>13</v>
      </c>
      <c r="D6" s="93"/>
      <c r="E6" s="94">
        <v>42369</v>
      </c>
      <c r="F6" s="94">
        <v>42735</v>
      </c>
      <c r="G6" s="95" t="s">
        <v>14</v>
      </c>
      <c r="H6" s="95" t="s">
        <v>15</v>
      </c>
      <c r="I6" s="96" t="s">
        <v>16</v>
      </c>
      <c r="J6" s="95" t="s">
        <v>17</v>
      </c>
      <c r="K6" s="95" t="s">
        <v>18</v>
      </c>
      <c r="L6" s="95" t="s">
        <v>19</v>
      </c>
      <c r="M6" s="95" t="s">
        <v>20</v>
      </c>
      <c r="N6" s="244" t="s">
        <v>21</v>
      </c>
    </row>
    <row r="7" spans="1:14" x14ac:dyDescent="0.25">
      <c r="B7" s="98" t="s">
        <v>75</v>
      </c>
      <c r="C7" s="81"/>
      <c r="D7" s="81"/>
      <c r="E7" s="81"/>
      <c r="F7" s="81"/>
      <c r="G7" s="81"/>
      <c r="H7" s="81"/>
      <c r="I7" s="256"/>
      <c r="J7" s="81"/>
      <c r="K7" s="81"/>
      <c r="L7" s="81"/>
      <c r="M7" s="81"/>
      <c r="N7" s="122"/>
    </row>
    <row r="8" spans="1:14" x14ac:dyDescent="0.25">
      <c r="B8" s="80"/>
      <c r="C8" s="81"/>
      <c r="D8" s="81"/>
      <c r="E8" s="81"/>
      <c r="F8" s="81"/>
      <c r="G8" s="81"/>
      <c r="H8" s="81"/>
      <c r="I8" s="256"/>
      <c r="J8" s="81"/>
      <c r="K8" s="81"/>
      <c r="L8" s="81"/>
      <c r="M8" s="81"/>
      <c r="N8" s="122"/>
    </row>
    <row r="9" spans="1:14" x14ac:dyDescent="0.25">
      <c r="B9" s="80"/>
      <c r="C9" s="81" t="s">
        <v>76</v>
      </c>
      <c r="D9" s="81"/>
      <c r="E9" s="36">
        <v>769</v>
      </c>
      <c r="F9" s="36">
        <v>646</v>
      </c>
      <c r="G9" s="36">
        <v>619</v>
      </c>
      <c r="H9" s="36">
        <v>528</v>
      </c>
      <c r="I9" s="60">
        <v>1535</v>
      </c>
      <c r="J9" s="81"/>
      <c r="K9" s="81"/>
      <c r="L9" s="81"/>
      <c r="M9" s="81"/>
      <c r="N9" s="122"/>
    </row>
    <row r="10" spans="1:14" x14ac:dyDescent="0.25">
      <c r="B10" s="80"/>
      <c r="C10" s="81" t="s">
        <v>77</v>
      </c>
      <c r="D10" s="81"/>
      <c r="E10" s="36">
        <v>539</v>
      </c>
      <c r="F10" s="36">
        <v>495</v>
      </c>
      <c r="G10" s="36">
        <v>514</v>
      </c>
      <c r="H10" s="36">
        <v>516</v>
      </c>
      <c r="I10" s="60">
        <v>560</v>
      </c>
      <c r="J10" s="82">
        <f>J55/J51*'Income Statement'!J7</f>
        <v>559.55192339045755</v>
      </c>
      <c r="K10" s="82">
        <f>K55/K51*'Income Statement'!K7</f>
        <v>580.44124194494702</v>
      </c>
      <c r="L10" s="82">
        <f>L55/L51*'Income Statement'!L7</f>
        <v>599.29781242479157</v>
      </c>
      <c r="M10" s="82">
        <f>M55/M51*'Income Statement'!M7</f>
        <v>610.84711741668741</v>
      </c>
      <c r="N10" s="83">
        <f>N55/N51*'Income Statement'!N7</f>
        <v>627.34421894574882</v>
      </c>
    </row>
    <row r="11" spans="1:14" x14ac:dyDescent="0.25">
      <c r="B11" s="80"/>
      <c r="C11" s="81" t="s">
        <v>78</v>
      </c>
      <c r="D11" s="81"/>
      <c r="E11" s="36">
        <v>80</v>
      </c>
      <c r="F11" s="36">
        <v>62</v>
      </c>
      <c r="G11" s="36">
        <v>45</v>
      </c>
      <c r="H11" s="36">
        <v>39</v>
      </c>
      <c r="I11" s="60">
        <v>32</v>
      </c>
      <c r="J11" s="82">
        <f>J54/J51*'Income Statement'!J9</f>
        <v>31.743542083307393</v>
      </c>
      <c r="K11" s="82">
        <f>K54/K51*'Income Statement'!K9</f>
        <v>32.329919614493619</v>
      </c>
      <c r="L11" s="82">
        <f>L54/L51*'Income Statement'!L9</f>
        <v>32.762080618868204</v>
      </c>
      <c r="M11" s="82">
        <f>M54/M51*'Income Statement'!M9</f>
        <v>32.763410812267928</v>
      </c>
      <c r="N11" s="83">
        <f>N54/N51*'Income Statement'!N9</f>
        <v>33.001193475948831</v>
      </c>
    </row>
    <row r="12" spans="1:14" x14ac:dyDescent="0.25">
      <c r="B12" s="80"/>
      <c r="C12" s="81" t="s">
        <v>79</v>
      </c>
      <c r="D12" s="81"/>
      <c r="E12" s="36">
        <v>193</v>
      </c>
      <c r="F12" s="36">
        <v>171</v>
      </c>
      <c r="G12" s="36">
        <v>145</v>
      </c>
      <c r="H12" s="36">
        <v>129</v>
      </c>
      <c r="I12" s="60">
        <v>156</v>
      </c>
      <c r="J12" s="81"/>
      <c r="K12" s="81"/>
      <c r="L12" s="81"/>
      <c r="M12" s="81"/>
      <c r="N12" s="122"/>
    </row>
    <row r="13" spans="1:14" x14ac:dyDescent="0.25">
      <c r="B13" s="80"/>
      <c r="C13" s="81" t="s">
        <v>80</v>
      </c>
      <c r="D13" s="81"/>
      <c r="E13" s="36">
        <v>302</v>
      </c>
      <c r="F13" s="36">
        <v>293</v>
      </c>
      <c r="G13" s="36">
        <v>494</v>
      </c>
      <c r="H13" s="36">
        <v>316</v>
      </c>
      <c r="I13" s="60">
        <v>363</v>
      </c>
      <c r="J13" s="82">
        <f>J14*'Income Statement'!J7</f>
        <v>363.70327513605383</v>
      </c>
      <c r="K13" s="82">
        <f>K14*'Income Statement'!K7</f>
        <v>376.25030504645673</v>
      </c>
      <c r="L13" s="82">
        <f>L14*'Income Statement'!L7</f>
        <v>388.47340341107025</v>
      </c>
      <c r="M13" s="82">
        <f>M14*'Income Statement'!M7</f>
        <v>395.9598278968885</v>
      </c>
      <c r="N13" s="83">
        <f>N14*'Income Statement'!N7</f>
        <v>407.76760391729107</v>
      </c>
    </row>
    <row r="14" spans="1:14" x14ac:dyDescent="0.25">
      <c r="B14" s="258"/>
      <c r="C14" s="61" t="s">
        <v>81</v>
      </c>
      <c r="D14" s="259"/>
      <c r="E14" s="260">
        <f>E13/'Income Statement'!E7</f>
        <v>4.5952525867315887E-2</v>
      </c>
      <c r="F14" s="260">
        <f>F13/'Income Statement'!F7</f>
        <v>7.5632421270005162E-2</v>
      </c>
      <c r="G14" s="260">
        <f>G13/'Income Statement'!G7</f>
        <v>0.12604188672967739</v>
      </c>
      <c r="H14" s="260">
        <f>H13/'Income Statement'!H7</f>
        <v>8.0101621581283061E-2</v>
      </c>
      <c r="I14" s="261">
        <f>I13/'Income Statement'!I7</f>
        <v>8.3725822150669579E-2</v>
      </c>
      <c r="J14" s="262">
        <f>I14</f>
        <v>8.3725822150669579E-2</v>
      </c>
      <c r="K14" s="262">
        <f t="shared" ref="K14:N14" si="0">J14</f>
        <v>8.3725822150669579E-2</v>
      </c>
      <c r="L14" s="262">
        <f t="shared" si="0"/>
        <v>8.3725822150669579E-2</v>
      </c>
      <c r="M14" s="262">
        <f t="shared" si="0"/>
        <v>8.3725822150669579E-2</v>
      </c>
      <c r="N14" s="263">
        <f t="shared" si="0"/>
        <v>8.3725822150669579E-2</v>
      </c>
    </row>
    <row r="15" spans="1:14" x14ac:dyDescent="0.25">
      <c r="A15" t="s">
        <v>449</v>
      </c>
      <c r="B15" s="102" t="s">
        <v>82</v>
      </c>
      <c r="C15" s="264"/>
      <c r="D15" s="264"/>
      <c r="E15" s="265">
        <f>SUM(E9:E13)</f>
        <v>1883</v>
      </c>
      <c r="F15" s="265">
        <f t="shared" ref="F15:N15" si="1">SUM(F9:F13)</f>
        <v>1667</v>
      </c>
      <c r="G15" s="265">
        <f t="shared" si="1"/>
        <v>1817</v>
      </c>
      <c r="H15" s="265">
        <f t="shared" si="1"/>
        <v>1528</v>
      </c>
      <c r="I15" s="266">
        <f t="shared" si="1"/>
        <v>2646</v>
      </c>
      <c r="J15" s="265">
        <f t="shared" si="1"/>
        <v>954.9987406098187</v>
      </c>
      <c r="K15" s="265">
        <f t="shared" si="1"/>
        <v>989.02146660589733</v>
      </c>
      <c r="L15" s="265">
        <f t="shared" si="1"/>
        <v>1020.5332964547301</v>
      </c>
      <c r="M15" s="265">
        <f>SUM(M9:M13)</f>
        <v>1039.5703561258438</v>
      </c>
      <c r="N15" s="267">
        <f t="shared" si="1"/>
        <v>1068.1130163389887</v>
      </c>
    </row>
    <row r="16" spans="1:14" x14ac:dyDescent="0.25">
      <c r="B16" s="80"/>
      <c r="C16" s="81"/>
      <c r="D16" s="81"/>
      <c r="E16" s="81"/>
      <c r="F16" s="81"/>
      <c r="G16" s="81"/>
      <c r="H16" s="81"/>
      <c r="I16" s="256"/>
      <c r="J16" s="81"/>
      <c r="K16" s="81"/>
      <c r="L16" s="81"/>
      <c r="M16" s="81"/>
      <c r="N16" s="122"/>
    </row>
    <row r="17" spans="1:14" x14ac:dyDescent="0.25">
      <c r="B17" s="80"/>
      <c r="C17" s="81" t="s">
        <v>83</v>
      </c>
      <c r="D17" s="81"/>
      <c r="E17" s="36">
        <v>3198</v>
      </c>
      <c r="F17" s="36">
        <v>3057</v>
      </c>
      <c r="G17" s="36">
        <v>2880</v>
      </c>
      <c r="H17" s="36">
        <v>3071</v>
      </c>
      <c r="I17" s="60">
        <v>3860</v>
      </c>
      <c r="J17" s="81"/>
      <c r="K17" s="81"/>
      <c r="L17" s="81"/>
      <c r="M17" s="81"/>
      <c r="N17" s="122"/>
    </row>
    <row r="18" spans="1:14" x14ac:dyDescent="0.25">
      <c r="B18" s="80"/>
      <c r="C18" s="81" t="s">
        <v>84</v>
      </c>
      <c r="D18" s="81"/>
      <c r="E18" s="36">
        <v>3622</v>
      </c>
      <c r="F18" s="36">
        <v>3308</v>
      </c>
      <c r="G18" s="36">
        <v>3207</v>
      </c>
      <c r="H18" s="36">
        <v>3036</v>
      </c>
      <c r="I18" s="60">
        <v>2822</v>
      </c>
      <c r="J18" s="81"/>
      <c r="K18" s="81"/>
      <c r="L18" s="81"/>
      <c r="M18" s="81"/>
      <c r="N18" s="122"/>
    </row>
    <row r="19" spans="1:14" x14ac:dyDescent="0.25">
      <c r="B19" s="80"/>
      <c r="C19" s="81" t="s">
        <v>85</v>
      </c>
      <c r="D19" s="81"/>
      <c r="E19" s="36">
        <v>1429</v>
      </c>
      <c r="F19" s="36">
        <v>1359</v>
      </c>
      <c r="G19" s="36">
        <v>1265</v>
      </c>
      <c r="H19" s="36">
        <v>2346</v>
      </c>
      <c r="I19" s="60">
        <v>3219</v>
      </c>
      <c r="J19" s="81"/>
      <c r="K19" s="81"/>
      <c r="L19" s="81"/>
      <c r="M19" s="81"/>
      <c r="N19" s="122"/>
    </row>
    <row r="20" spans="1:14" x14ac:dyDescent="0.25">
      <c r="B20" s="80"/>
      <c r="C20" s="81" t="s">
        <v>86</v>
      </c>
      <c r="D20" s="81"/>
      <c r="E20" s="36">
        <v>188</v>
      </c>
      <c r="F20" s="36">
        <v>166</v>
      </c>
      <c r="G20" s="36">
        <v>180</v>
      </c>
      <c r="H20" s="36">
        <v>202</v>
      </c>
      <c r="I20" s="60">
        <v>200</v>
      </c>
      <c r="J20" s="81"/>
      <c r="K20" s="81"/>
      <c r="L20" s="81"/>
      <c r="M20" s="81"/>
      <c r="N20" s="122"/>
    </row>
    <row r="21" spans="1:14" x14ac:dyDescent="0.25">
      <c r="B21" s="258"/>
      <c r="C21" s="259" t="s">
        <v>87</v>
      </c>
      <c r="D21" s="259"/>
      <c r="E21" s="67">
        <v>75</v>
      </c>
      <c r="F21" s="67">
        <v>70</v>
      </c>
      <c r="G21" s="67">
        <v>115</v>
      </c>
      <c r="H21" s="67">
        <v>130</v>
      </c>
      <c r="I21" s="68">
        <v>109</v>
      </c>
      <c r="J21" s="259"/>
      <c r="K21" s="259"/>
      <c r="L21" s="259"/>
      <c r="M21" s="259"/>
      <c r="N21" s="268"/>
    </row>
    <row r="22" spans="1:14" x14ac:dyDescent="0.25">
      <c r="A22" t="s">
        <v>449</v>
      </c>
      <c r="B22" s="269" t="s">
        <v>88</v>
      </c>
      <c r="C22" s="270"/>
      <c r="D22" s="270"/>
      <c r="E22" s="271">
        <f>SUM(E15:E21)</f>
        <v>10395</v>
      </c>
      <c r="F22" s="271">
        <f t="shared" ref="F22:I22" si="2">SUM(F15:F21)</f>
        <v>9627</v>
      </c>
      <c r="G22" s="271">
        <f t="shared" si="2"/>
        <v>9464</v>
      </c>
      <c r="H22" s="271">
        <f t="shared" si="2"/>
        <v>10313</v>
      </c>
      <c r="I22" s="272">
        <f t="shared" si="2"/>
        <v>12856</v>
      </c>
      <c r="J22" s="270"/>
      <c r="K22" s="270"/>
      <c r="L22" s="270"/>
      <c r="M22" s="270"/>
      <c r="N22" s="273"/>
    </row>
    <row r="23" spans="1:14" x14ac:dyDescent="0.25">
      <c r="B23" s="80"/>
      <c r="C23" s="81"/>
      <c r="D23" s="81"/>
      <c r="E23" s="81"/>
      <c r="F23" s="81"/>
      <c r="G23" s="81"/>
      <c r="H23" s="81"/>
      <c r="I23" s="256"/>
      <c r="J23" s="81"/>
      <c r="K23" s="81"/>
      <c r="L23" s="81"/>
      <c r="M23" s="81"/>
      <c r="N23" s="122"/>
    </row>
    <row r="24" spans="1:14" x14ac:dyDescent="0.25">
      <c r="B24" s="98" t="s">
        <v>89</v>
      </c>
      <c r="C24" s="81"/>
      <c r="D24" s="81"/>
      <c r="E24" s="81"/>
      <c r="F24" s="81"/>
      <c r="G24" s="81"/>
      <c r="H24" s="81"/>
      <c r="I24" s="256"/>
      <c r="J24" s="81"/>
      <c r="K24" s="81"/>
      <c r="L24" s="81"/>
      <c r="M24" s="81"/>
      <c r="N24" s="122"/>
    </row>
    <row r="25" spans="1:14" x14ac:dyDescent="0.25">
      <c r="B25" s="80"/>
      <c r="C25" s="81"/>
      <c r="D25" s="81"/>
      <c r="E25" s="81"/>
      <c r="F25" s="81"/>
      <c r="G25" s="81"/>
      <c r="H25" s="81"/>
      <c r="I25" s="256"/>
      <c r="J25" s="81"/>
      <c r="K25" s="81"/>
      <c r="L25" s="81"/>
      <c r="M25" s="81"/>
      <c r="N25" s="122"/>
    </row>
    <row r="26" spans="1:14" x14ac:dyDescent="0.25">
      <c r="B26" s="80"/>
      <c r="C26" s="81" t="s">
        <v>90</v>
      </c>
      <c r="D26" s="81"/>
      <c r="E26" s="36">
        <v>915</v>
      </c>
      <c r="F26" s="36">
        <v>570</v>
      </c>
      <c r="G26" s="36">
        <v>584</v>
      </c>
      <c r="H26" s="36">
        <v>630</v>
      </c>
      <c r="I26" s="60">
        <v>426</v>
      </c>
      <c r="J26" s="82">
        <f>J56/J51*'Income Statement'!J9</f>
        <v>422.58590398402964</v>
      </c>
      <c r="K26" s="82">
        <f>K56/K51*'Income Statement'!K9</f>
        <v>430.39205486794629</v>
      </c>
      <c r="L26" s="82">
        <f>L56/L51*'Income Statement'!L9</f>
        <v>436.14519823868301</v>
      </c>
      <c r="M26" s="82">
        <f>M56/M51*'Income Statement'!M9</f>
        <v>436.16290643831678</v>
      </c>
      <c r="N26" s="83">
        <f>N56/N51*'Income Statement'!N9</f>
        <v>439.32838814856876</v>
      </c>
    </row>
    <row r="27" spans="1:14" x14ac:dyDescent="0.25">
      <c r="B27" s="80"/>
      <c r="C27" s="81" t="s">
        <v>91</v>
      </c>
      <c r="D27" s="81"/>
      <c r="E27" s="36">
        <v>485</v>
      </c>
      <c r="F27" s="36">
        <v>420</v>
      </c>
      <c r="G27" s="36">
        <v>410</v>
      </c>
      <c r="H27" s="36">
        <v>449</v>
      </c>
      <c r="I27" s="60">
        <v>506</v>
      </c>
      <c r="J27" s="82">
        <f>J28*'Income Statement'!J14</f>
        <v>544.78907445266248</v>
      </c>
      <c r="K27" s="82">
        <f>K28*'Income Statement'!K14</f>
        <v>560.71936799090088</v>
      </c>
      <c r="L27" s="82">
        <f>L28*'Income Statement'!L14</f>
        <v>575.97837392977544</v>
      </c>
      <c r="M27" s="82">
        <f>M28*'Income Statement'!M14</f>
        <v>584.06443020375957</v>
      </c>
      <c r="N27" s="83">
        <f>N28*'Income Statement'!N14</f>
        <v>598.37788054706596</v>
      </c>
    </row>
    <row r="28" spans="1:14" x14ac:dyDescent="0.25">
      <c r="B28" s="80"/>
      <c r="C28" s="56" t="s">
        <v>92</v>
      </c>
      <c r="D28" s="81"/>
      <c r="E28" s="237">
        <f>E27/'Income Statement'!E14</f>
        <v>0.18725868725868725</v>
      </c>
      <c r="F28" s="237">
        <f>F27/'Income Statement'!F14</f>
        <v>0.25814382298709282</v>
      </c>
      <c r="G28" s="237">
        <f>G27/'Income Statement'!G14</f>
        <v>0.26779882429784457</v>
      </c>
      <c r="H28" s="237">
        <f>H27/'Income Statement'!H14</f>
        <v>0.28671775223499363</v>
      </c>
      <c r="I28" s="257">
        <f>I27/'Income Statement'!I14</f>
        <v>0.31863979848866497</v>
      </c>
      <c r="J28" s="250">
        <f>I28</f>
        <v>0.31863979848866497</v>
      </c>
      <c r="K28" s="250">
        <f t="shared" ref="K28:N28" si="3">J28</f>
        <v>0.31863979848866497</v>
      </c>
      <c r="L28" s="250">
        <f t="shared" si="3"/>
        <v>0.31863979848866497</v>
      </c>
      <c r="M28" s="250">
        <f t="shared" si="3"/>
        <v>0.31863979848866497</v>
      </c>
      <c r="N28" s="251">
        <f t="shared" si="3"/>
        <v>0.31863979848866497</v>
      </c>
    </row>
    <row r="29" spans="1:14" x14ac:dyDescent="0.25">
      <c r="B29" s="80"/>
      <c r="C29" s="81" t="s">
        <v>93</v>
      </c>
      <c r="D29" s="81"/>
      <c r="E29" s="36">
        <v>135</v>
      </c>
      <c r="F29" s="36">
        <v>10</v>
      </c>
      <c r="G29" s="36">
        <v>40</v>
      </c>
      <c r="H29" s="36">
        <v>289</v>
      </c>
      <c r="I29" s="60">
        <v>57</v>
      </c>
      <c r="J29" s="230">
        <v>0</v>
      </c>
      <c r="K29" s="230">
        <v>0</v>
      </c>
      <c r="L29" s="230">
        <v>0</v>
      </c>
      <c r="M29" s="230">
        <v>0</v>
      </c>
      <c r="N29" s="252">
        <v>0</v>
      </c>
    </row>
    <row r="30" spans="1:14" x14ac:dyDescent="0.25">
      <c r="B30" s="80"/>
      <c r="C30" s="81" t="s">
        <v>94</v>
      </c>
      <c r="D30" s="81"/>
      <c r="E30" s="36">
        <v>86</v>
      </c>
      <c r="F30" s="36">
        <v>70</v>
      </c>
      <c r="G30" s="36">
        <v>201</v>
      </c>
      <c r="H30" s="36">
        <v>169</v>
      </c>
      <c r="I30" s="60">
        <v>250</v>
      </c>
      <c r="J30" s="230">
        <v>0</v>
      </c>
      <c r="K30" s="230">
        <v>0</v>
      </c>
      <c r="L30" s="230">
        <v>0</v>
      </c>
      <c r="M30" s="81">
        <v>0</v>
      </c>
      <c r="N30" s="122">
        <v>0</v>
      </c>
    </row>
    <row r="31" spans="1:14" x14ac:dyDescent="0.25">
      <c r="B31" s="80"/>
      <c r="C31" s="81" t="s">
        <v>95</v>
      </c>
      <c r="D31" s="81"/>
      <c r="E31" s="36">
        <v>124</v>
      </c>
      <c r="F31" s="36">
        <v>68</v>
      </c>
      <c r="G31" s="36">
        <v>81</v>
      </c>
      <c r="H31" s="36">
        <v>55</v>
      </c>
      <c r="I31" s="60">
        <v>75</v>
      </c>
      <c r="J31" s="230">
        <v>0</v>
      </c>
      <c r="K31" s="230">
        <v>0</v>
      </c>
      <c r="L31" s="230">
        <v>0</v>
      </c>
      <c r="M31" s="230">
        <v>0</v>
      </c>
      <c r="N31" s="252">
        <v>0</v>
      </c>
    </row>
    <row r="32" spans="1:14" x14ac:dyDescent="0.25">
      <c r="B32" s="80"/>
      <c r="C32" s="81" t="s">
        <v>96</v>
      </c>
      <c r="D32" s="81"/>
      <c r="E32" s="36">
        <v>121</v>
      </c>
      <c r="F32" s="36">
        <v>112</v>
      </c>
      <c r="G32" s="36">
        <v>86</v>
      </c>
      <c r="H32" s="36">
        <v>172</v>
      </c>
      <c r="I32" s="60">
        <v>159</v>
      </c>
      <c r="J32" s="230"/>
      <c r="K32" s="81"/>
      <c r="L32" s="81"/>
      <c r="M32" s="81"/>
      <c r="N32" s="122"/>
    </row>
    <row r="33" spans="1:14" x14ac:dyDescent="0.25">
      <c r="B33" s="80"/>
      <c r="C33" s="81" t="s">
        <v>97</v>
      </c>
      <c r="D33" s="81"/>
      <c r="E33" s="36">
        <v>591</v>
      </c>
      <c r="F33" s="36">
        <v>647</v>
      </c>
      <c r="G33" s="36">
        <v>665</v>
      </c>
      <c r="H33" s="36">
        <v>912</v>
      </c>
      <c r="I33" s="60">
        <v>933</v>
      </c>
      <c r="J33" s="82">
        <f>J34*'Income Statement'!J14</f>
        <v>1004.5221471627157</v>
      </c>
      <c r="K33" s="82">
        <f>K34*'Income Statement'!K14</f>
        <v>1033.8955935484398</v>
      </c>
      <c r="L33" s="82">
        <f>L34*'Income Statement'!L14</f>
        <v>1062.0312705068786</v>
      </c>
      <c r="M33" s="82">
        <f>M34*'Income Statement'!M14</f>
        <v>1076.9409355338098</v>
      </c>
      <c r="N33" s="83">
        <f>N34*'Income Statement'!N14</f>
        <v>1103.3331275699854</v>
      </c>
    </row>
    <row r="34" spans="1:14" x14ac:dyDescent="0.25">
      <c r="B34" s="258"/>
      <c r="C34" s="61" t="s">
        <v>92</v>
      </c>
      <c r="D34" s="259"/>
      <c r="E34" s="260">
        <f>E33/'Income Statement'!E14</f>
        <v>0.22818532818532819</v>
      </c>
      <c r="F34" s="260">
        <f>F33/'Income Statement'!F14</f>
        <v>0.39766441303011679</v>
      </c>
      <c r="G34" s="260">
        <f>G33/'Income Statement'!G14</f>
        <v>0.43435662965382105</v>
      </c>
      <c r="H34" s="260">
        <f>H33/'Income Statement'!H14</f>
        <v>0.58237547892720309</v>
      </c>
      <c r="I34" s="261">
        <f>I33/'Income Statement'!I14</f>
        <v>0.58753148614609574</v>
      </c>
      <c r="J34" s="274">
        <f>I34</f>
        <v>0.58753148614609574</v>
      </c>
      <c r="K34" s="274">
        <f t="shared" ref="K34:N34" si="4">J34</f>
        <v>0.58753148614609574</v>
      </c>
      <c r="L34" s="274">
        <f t="shared" si="4"/>
        <v>0.58753148614609574</v>
      </c>
      <c r="M34" s="274">
        <f t="shared" si="4"/>
        <v>0.58753148614609574</v>
      </c>
      <c r="N34" s="275">
        <f t="shared" si="4"/>
        <v>0.58753148614609574</v>
      </c>
    </row>
    <row r="35" spans="1:14" x14ac:dyDescent="0.25">
      <c r="A35" t="s">
        <v>449</v>
      </c>
      <c r="B35" s="269" t="s">
        <v>98</v>
      </c>
      <c r="C35" s="270"/>
      <c r="D35" s="270"/>
      <c r="E35" s="271">
        <f>SUM(E26:E27,E29:E33)</f>
        <v>2457</v>
      </c>
      <c r="F35" s="271">
        <f t="shared" ref="F35:I35" si="5">SUM(F26:F27,F29:F33)</f>
        <v>1897</v>
      </c>
      <c r="G35" s="271">
        <f t="shared" si="5"/>
        <v>2067</v>
      </c>
      <c r="H35" s="271">
        <f t="shared" si="5"/>
        <v>2676</v>
      </c>
      <c r="I35" s="272">
        <f t="shared" si="5"/>
        <v>2406</v>
      </c>
      <c r="J35" s="271">
        <f>J26+J27+J33</f>
        <v>1971.8971255994079</v>
      </c>
      <c r="K35" s="271">
        <f t="shared" ref="K35:N35" si="6">K26+K27+K33</f>
        <v>2025.007016407287</v>
      </c>
      <c r="L35" s="271">
        <f t="shared" si="6"/>
        <v>2074.154842675337</v>
      </c>
      <c r="M35" s="271">
        <f t="shared" si="6"/>
        <v>2097.1682721758862</v>
      </c>
      <c r="N35" s="276">
        <f t="shared" si="6"/>
        <v>2141.0393962656199</v>
      </c>
    </row>
    <row r="36" spans="1:14" x14ac:dyDescent="0.25">
      <c r="B36" s="80"/>
      <c r="C36" s="81"/>
      <c r="D36" s="81"/>
      <c r="E36" s="81"/>
      <c r="F36" s="81"/>
      <c r="G36" s="81"/>
      <c r="H36" s="81"/>
      <c r="I36" s="256"/>
      <c r="J36" s="81"/>
      <c r="K36" s="81"/>
      <c r="L36" s="81"/>
      <c r="M36" s="81"/>
      <c r="N36" s="122"/>
    </row>
    <row r="37" spans="1:14" x14ac:dyDescent="0.25">
      <c r="B37" s="80"/>
      <c r="C37" s="81" t="s">
        <v>99</v>
      </c>
      <c r="D37" s="81"/>
      <c r="E37" s="36">
        <v>3527</v>
      </c>
      <c r="F37" s="36">
        <v>3615</v>
      </c>
      <c r="G37" s="36">
        <v>3238</v>
      </c>
      <c r="H37" s="36">
        <v>3905</v>
      </c>
      <c r="I37" s="60">
        <v>6140</v>
      </c>
      <c r="J37" s="253">
        <f>I37</f>
        <v>6140</v>
      </c>
      <c r="K37" s="253">
        <f t="shared" ref="K37:N37" si="7">J37</f>
        <v>6140</v>
      </c>
      <c r="L37" s="253">
        <f t="shared" si="7"/>
        <v>6140</v>
      </c>
      <c r="M37" s="253">
        <f t="shared" si="7"/>
        <v>6140</v>
      </c>
      <c r="N37" s="254">
        <f t="shared" si="7"/>
        <v>6140</v>
      </c>
    </row>
    <row r="38" spans="1:14" x14ac:dyDescent="0.25">
      <c r="B38" s="80"/>
      <c r="C38" s="81" t="s">
        <v>100</v>
      </c>
      <c r="D38" s="81"/>
      <c r="E38" s="36">
        <v>327</v>
      </c>
      <c r="F38" s="36">
        <v>290</v>
      </c>
      <c r="G38" s="36">
        <v>362</v>
      </c>
      <c r="H38" s="36">
        <v>353</v>
      </c>
      <c r="I38" s="60">
        <v>967</v>
      </c>
      <c r="J38" s="253">
        <f>I38</f>
        <v>967</v>
      </c>
      <c r="K38" s="253">
        <f t="shared" ref="K38:N38" si="8">J38</f>
        <v>967</v>
      </c>
      <c r="L38" s="253">
        <f t="shared" si="8"/>
        <v>967</v>
      </c>
      <c r="M38" s="253">
        <f t="shared" si="8"/>
        <v>967</v>
      </c>
      <c r="N38" s="254">
        <f t="shared" si="8"/>
        <v>967</v>
      </c>
    </row>
    <row r="39" spans="1:14" x14ac:dyDescent="0.25">
      <c r="B39" s="258"/>
      <c r="C39" s="259" t="s">
        <v>101</v>
      </c>
      <c r="D39" s="259"/>
      <c r="E39" s="67">
        <v>356</v>
      </c>
      <c r="F39" s="67">
        <v>457</v>
      </c>
      <c r="G39" s="67">
        <v>516</v>
      </c>
      <c r="H39" s="67">
        <v>586</v>
      </c>
      <c r="I39" s="68">
        <v>662</v>
      </c>
      <c r="J39" s="277">
        <f>I39</f>
        <v>662</v>
      </c>
      <c r="K39" s="277">
        <f t="shared" ref="K39:N39" si="9">J39</f>
        <v>662</v>
      </c>
      <c r="L39" s="277">
        <f t="shared" si="9"/>
        <v>662</v>
      </c>
      <c r="M39" s="277">
        <f t="shared" si="9"/>
        <v>662</v>
      </c>
      <c r="N39" s="278">
        <f t="shared" si="9"/>
        <v>662</v>
      </c>
    </row>
    <row r="40" spans="1:14" x14ac:dyDescent="0.25">
      <c r="A40" t="s">
        <v>449</v>
      </c>
      <c r="B40" s="269" t="s">
        <v>102</v>
      </c>
      <c r="C40" s="270"/>
      <c r="D40" s="270"/>
      <c r="E40" s="271">
        <f>SUM(E35:E39)</f>
        <v>6667</v>
      </c>
      <c r="F40" s="271">
        <f t="shared" ref="F40:I40" si="10">SUM(F35:F39)</f>
        <v>6259</v>
      </c>
      <c r="G40" s="271">
        <f t="shared" si="10"/>
        <v>6183</v>
      </c>
      <c r="H40" s="271">
        <f t="shared" si="10"/>
        <v>7520</v>
      </c>
      <c r="I40" s="272">
        <f t="shared" si="10"/>
        <v>10175</v>
      </c>
      <c r="J40" s="270"/>
      <c r="K40" s="270"/>
      <c r="L40" s="270"/>
      <c r="M40" s="270"/>
      <c r="N40" s="273"/>
    </row>
    <row r="41" spans="1:14" x14ac:dyDescent="0.25">
      <c r="B41" s="80"/>
      <c r="C41" s="81"/>
      <c r="D41" s="81"/>
      <c r="E41" s="81"/>
      <c r="F41" s="81"/>
      <c r="G41" s="81"/>
      <c r="H41" s="81"/>
      <c r="I41" s="256"/>
      <c r="J41" s="81"/>
      <c r="K41" s="81"/>
      <c r="L41" s="81"/>
      <c r="M41" s="81"/>
      <c r="N41" s="122"/>
    </row>
    <row r="42" spans="1:14" x14ac:dyDescent="0.25">
      <c r="B42" s="98" t="s">
        <v>103</v>
      </c>
      <c r="C42" s="81"/>
      <c r="D42" s="81"/>
      <c r="E42" s="36">
        <v>3477</v>
      </c>
      <c r="F42" s="36">
        <v>3167</v>
      </c>
      <c r="G42" s="36">
        <v>3096</v>
      </c>
      <c r="H42" s="36">
        <v>2542</v>
      </c>
      <c r="I42" s="60">
        <v>2410</v>
      </c>
      <c r="J42" s="81"/>
      <c r="K42" s="81"/>
      <c r="L42" s="81"/>
      <c r="M42" s="81"/>
      <c r="N42" s="122"/>
    </row>
    <row r="43" spans="1:14" x14ac:dyDescent="0.25">
      <c r="B43" s="279" t="s">
        <v>104</v>
      </c>
      <c r="C43" s="259"/>
      <c r="D43" s="259"/>
      <c r="E43" s="67">
        <v>251</v>
      </c>
      <c r="F43" s="67">
        <v>201</v>
      </c>
      <c r="G43" s="67">
        <v>185</v>
      </c>
      <c r="H43" s="67">
        <v>251</v>
      </c>
      <c r="I43" s="68">
        <v>271</v>
      </c>
      <c r="J43" s="259"/>
      <c r="K43" s="259"/>
      <c r="L43" s="259"/>
      <c r="M43" s="259"/>
      <c r="N43" s="268"/>
    </row>
    <row r="44" spans="1:14" x14ac:dyDescent="0.25">
      <c r="B44" s="80"/>
      <c r="C44" s="81"/>
      <c r="D44" s="81"/>
      <c r="E44" s="81"/>
      <c r="F44" s="81"/>
      <c r="G44" s="81"/>
      <c r="H44" s="81"/>
      <c r="I44" s="256"/>
      <c r="J44" s="81"/>
      <c r="K44" s="81"/>
      <c r="L44" s="81"/>
      <c r="M44" s="81"/>
      <c r="N44" s="122"/>
    </row>
    <row r="45" spans="1:14" x14ac:dyDescent="0.25">
      <c r="A45" t="s">
        <v>449</v>
      </c>
      <c r="B45" s="98" t="s">
        <v>105</v>
      </c>
      <c r="C45" s="81"/>
      <c r="D45" s="81"/>
      <c r="E45" s="82">
        <f>E42+E43</f>
        <v>3728</v>
      </c>
      <c r="F45" s="82">
        <f t="shared" ref="F45:I45" si="11">F42+F43</f>
        <v>3368</v>
      </c>
      <c r="G45" s="82">
        <f t="shared" si="11"/>
        <v>3281</v>
      </c>
      <c r="H45" s="82">
        <f t="shared" si="11"/>
        <v>2793</v>
      </c>
      <c r="I45" s="242">
        <f t="shared" si="11"/>
        <v>2681</v>
      </c>
      <c r="J45" s="81"/>
      <c r="K45" s="81"/>
      <c r="L45" s="81"/>
      <c r="M45" s="81"/>
      <c r="N45" s="122"/>
    </row>
    <row r="46" spans="1:14" x14ac:dyDescent="0.25">
      <c r="B46" s="80"/>
      <c r="C46" s="81"/>
      <c r="D46" s="81"/>
      <c r="E46" s="81"/>
      <c r="F46" s="81"/>
      <c r="G46" s="81"/>
      <c r="H46" s="81"/>
      <c r="I46" s="256"/>
      <c r="J46" s="81"/>
      <c r="K46" s="81"/>
      <c r="L46" s="81"/>
      <c r="M46" s="81"/>
      <c r="N46" s="122"/>
    </row>
    <row r="47" spans="1:14" ht="16.5" thickBot="1" x14ac:dyDescent="0.3">
      <c r="A47" t="s">
        <v>449</v>
      </c>
      <c r="B47" s="105" t="s">
        <v>106</v>
      </c>
      <c r="C47" s="85"/>
      <c r="D47" s="85"/>
      <c r="E47" s="87">
        <f>E45+E40</f>
        <v>10395</v>
      </c>
      <c r="F47" s="87">
        <f t="shared" ref="F47:I47" si="12">F45+F40</f>
        <v>9627</v>
      </c>
      <c r="G47" s="87">
        <f t="shared" si="12"/>
        <v>9464</v>
      </c>
      <c r="H47" s="87">
        <f t="shared" si="12"/>
        <v>10313</v>
      </c>
      <c r="I47" s="243">
        <f t="shared" si="12"/>
        <v>12856</v>
      </c>
      <c r="J47" s="85"/>
      <c r="K47" s="85"/>
      <c r="L47" s="85"/>
      <c r="M47" s="85"/>
      <c r="N47" s="255"/>
    </row>
    <row r="48" spans="1:14" x14ac:dyDescent="0.25">
      <c r="B48" s="33"/>
      <c r="E48" s="75"/>
      <c r="F48" s="75"/>
      <c r="G48" s="75"/>
      <c r="H48" s="75"/>
      <c r="I48" s="75"/>
    </row>
    <row r="49" spans="1:14" x14ac:dyDescent="0.25"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6.5" thickBot="1" x14ac:dyDescent="0.3">
      <c r="B50" s="77" t="s">
        <v>107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</row>
    <row r="51" spans="1:14" ht="16.5" thickBot="1" x14ac:dyDescent="0.3">
      <c r="E51">
        <v>365</v>
      </c>
      <c r="F51">
        <f>F53-E53</f>
        <v>366</v>
      </c>
      <c r="G51">
        <f t="shared" ref="G51:N51" si="13">G53-F53</f>
        <v>365</v>
      </c>
      <c r="H51">
        <f t="shared" si="13"/>
        <v>365</v>
      </c>
      <c r="I51">
        <f t="shared" si="13"/>
        <v>365</v>
      </c>
      <c r="J51">
        <f t="shared" si="13"/>
        <v>366</v>
      </c>
      <c r="K51">
        <f t="shared" si="13"/>
        <v>365</v>
      </c>
      <c r="L51">
        <f t="shared" si="13"/>
        <v>365</v>
      </c>
      <c r="M51">
        <f t="shared" si="13"/>
        <v>365</v>
      </c>
      <c r="N51">
        <f t="shared" si="13"/>
        <v>366</v>
      </c>
    </row>
    <row r="52" spans="1:14" x14ac:dyDescent="0.25">
      <c r="A52" t="s">
        <v>449</v>
      </c>
      <c r="B52" s="46" t="s">
        <v>2</v>
      </c>
      <c r="C52" s="47"/>
      <c r="D52" s="74"/>
      <c r="E52" s="51" t="s">
        <v>3</v>
      </c>
      <c r="F52" s="51" t="s">
        <v>4</v>
      </c>
      <c r="G52" s="51" t="s">
        <v>5</v>
      </c>
      <c r="H52" s="51" t="s">
        <v>6</v>
      </c>
      <c r="I52" s="89" t="s">
        <v>7</v>
      </c>
      <c r="J52" s="51" t="s">
        <v>8</v>
      </c>
      <c r="K52" s="51" t="s">
        <v>9</v>
      </c>
      <c r="L52" s="51" t="s">
        <v>10</v>
      </c>
      <c r="M52" s="51" t="s">
        <v>11</v>
      </c>
      <c r="N52" s="52" t="s">
        <v>12</v>
      </c>
    </row>
    <row r="53" spans="1:14" ht="16.5" thickBot="1" x14ac:dyDescent="0.3">
      <c r="B53" s="92"/>
      <c r="C53" s="93" t="s">
        <v>13</v>
      </c>
      <c r="D53" s="93"/>
      <c r="E53" s="94">
        <v>42369</v>
      </c>
      <c r="F53" s="94">
        <v>42735</v>
      </c>
      <c r="G53" s="95" t="s">
        <v>14</v>
      </c>
      <c r="H53" s="95" t="s">
        <v>15</v>
      </c>
      <c r="I53" s="96" t="s">
        <v>16</v>
      </c>
      <c r="J53" s="95" t="s">
        <v>17</v>
      </c>
      <c r="K53" s="95" t="s">
        <v>18</v>
      </c>
      <c r="L53" s="95" t="s">
        <v>19</v>
      </c>
      <c r="M53" s="95" t="s">
        <v>20</v>
      </c>
      <c r="N53" s="97">
        <v>45657</v>
      </c>
    </row>
    <row r="54" spans="1:14" x14ac:dyDescent="0.25">
      <c r="B54" s="80" t="s">
        <v>108</v>
      </c>
      <c r="C54" s="81"/>
      <c r="D54" s="81"/>
      <c r="E54" s="78">
        <f>(E11/'Income Statement'!E9)*E51</f>
        <v>16.285554935861683</v>
      </c>
      <c r="F54" s="78">
        <f>(F11/'Income Statement'!F9)*F51</f>
        <v>19.312340425531914</v>
      </c>
      <c r="G54" s="78">
        <f>(G11/'Income Statement'!G9)*G51</f>
        <v>14.050470487596236</v>
      </c>
      <c r="H54" s="78">
        <f>(H11/'Income Statement'!H9)*H51</f>
        <v>12.743957027752909</v>
      </c>
      <c r="I54" s="90">
        <f>(I11/'Income Statement'!I9)*I51</f>
        <v>9.7252289758534562</v>
      </c>
      <c r="J54" s="82">
        <f>I54</f>
        <v>9.7252289758534562</v>
      </c>
      <c r="K54" s="82">
        <f t="shared" ref="K54:N54" si="14">J54</f>
        <v>9.7252289758534562</v>
      </c>
      <c r="L54" s="82">
        <f t="shared" si="14"/>
        <v>9.7252289758534562</v>
      </c>
      <c r="M54" s="82">
        <f t="shared" si="14"/>
        <v>9.7252289758534562</v>
      </c>
      <c r="N54" s="83">
        <f t="shared" si="14"/>
        <v>9.7252289758534562</v>
      </c>
    </row>
    <row r="55" spans="1:14" x14ac:dyDescent="0.25">
      <c r="B55" s="80" t="s">
        <v>109</v>
      </c>
      <c r="C55" s="81"/>
      <c r="D55" s="81"/>
      <c r="E55" s="78">
        <f>(E10/'Income Statement'!E7)*E51</f>
        <v>29.935331710286064</v>
      </c>
      <c r="F55" s="78">
        <f>(F10/'Income Statement'!F7)*F51</f>
        <v>46.765616933402171</v>
      </c>
      <c r="G55" s="78">
        <f>(G10/'Income Statement'!G7)*G51</f>
        <v>47.867850950110878</v>
      </c>
      <c r="H55" s="78">
        <f>(H10/'Income Statement'!H7)*H51</f>
        <v>47.741580407021686</v>
      </c>
      <c r="I55" s="90">
        <f>(I10/'Income Statement'!I7)*I51</f>
        <v>47.144788009908709</v>
      </c>
      <c r="J55" s="82">
        <f>I55</f>
        <v>47.144788009908709</v>
      </c>
      <c r="K55" s="82">
        <f t="shared" ref="K55:N55" si="15">J55</f>
        <v>47.144788009908709</v>
      </c>
      <c r="L55" s="82">
        <f t="shared" si="15"/>
        <v>47.144788009908709</v>
      </c>
      <c r="M55" s="82">
        <f t="shared" si="15"/>
        <v>47.144788009908709</v>
      </c>
      <c r="N55" s="83">
        <f t="shared" si="15"/>
        <v>47.144788009908709</v>
      </c>
    </row>
    <row r="56" spans="1:14" ht="16.5" thickBot="1" x14ac:dyDescent="0.3">
      <c r="B56" s="84" t="s">
        <v>110</v>
      </c>
      <c r="C56" s="85"/>
      <c r="D56" s="85"/>
      <c r="E56" s="86">
        <f>(E26/'Income Statement'!E9)*E51</f>
        <v>186.26603457891804</v>
      </c>
      <c r="F56" s="86">
        <f>(F26/'Income Statement'!F9)*F51</f>
        <v>177.54893617021276</v>
      </c>
      <c r="G56" s="86">
        <f>(G26/'Income Statement'!G9)*G51</f>
        <v>182.34388366124892</v>
      </c>
      <c r="H56" s="86">
        <f>(H26/'Income Statement'!H9)*H51</f>
        <v>205.86392121754699</v>
      </c>
      <c r="I56" s="91">
        <f>(I26/'Income Statement'!I9)*I51</f>
        <v>129.46711074104914</v>
      </c>
      <c r="J56" s="87">
        <f>I56</f>
        <v>129.46711074104914</v>
      </c>
      <c r="K56" s="87">
        <f t="shared" ref="K56:N56" si="16">J56</f>
        <v>129.46711074104914</v>
      </c>
      <c r="L56" s="87">
        <f t="shared" si="16"/>
        <v>129.46711074104914</v>
      </c>
      <c r="M56" s="87">
        <f t="shared" si="16"/>
        <v>129.46711074104914</v>
      </c>
      <c r="N56" s="88">
        <f t="shared" si="16"/>
        <v>129.46711074104914</v>
      </c>
    </row>
    <row r="58" spans="1:14" ht="16.5" thickBot="1" x14ac:dyDescent="0.3">
      <c r="B58" s="77" t="s">
        <v>111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</row>
    <row r="59" spans="1:14" ht="16.5" thickBot="1" x14ac:dyDescent="0.3"/>
    <row r="60" spans="1:14" x14ac:dyDescent="0.25">
      <c r="A60" t="s">
        <v>449</v>
      </c>
      <c r="B60" s="46" t="s">
        <v>2</v>
      </c>
      <c r="C60" s="47"/>
      <c r="D60" s="74"/>
      <c r="E60" s="51" t="s">
        <v>3</v>
      </c>
      <c r="F60" s="51" t="s">
        <v>4</v>
      </c>
      <c r="G60" s="51" t="s">
        <v>5</v>
      </c>
      <c r="H60" s="51" t="s">
        <v>6</v>
      </c>
      <c r="I60" s="52" t="s">
        <v>7</v>
      </c>
      <c r="J60" s="51" t="s">
        <v>8</v>
      </c>
      <c r="K60" s="51" t="s">
        <v>9</v>
      </c>
      <c r="L60" s="51" t="s">
        <v>10</v>
      </c>
      <c r="M60" s="51" t="s">
        <v>11</v>
      </c>
      <c r="N60" s="52" t="s">
        <v>12</v>
      </c>
    </row>
    <row r="61" spans="1:14" ht="16.5" thickBot="1" x14ac:dyDescent="0.3">
      <c r="B61" s="92"/>
      <c r="C61" s="93" t="s">
        <v>13</v>
      </c>
      <c r="D61" s="93"/>
      <c r="E61" s="94">
        <v>42369</v>
      </c>
      <c r="F61" s="94">
        <v>42735</v>
      </c>
      <c r="G61" s="95" t="s">
        <v>14</v>
      </c>
      <c r="H61" s="95" t="s">
        <v>15</v>
      </c>
      <c r="I61" s="244" t="s">
        <v>16</v>
      </c>
      <c r="J61" s="95" t="s">
        <v>17</v>
      </c>
      <c r="K61" s="95" t="s">
        <v>18</v>
      </c>
      <c r="L61" s="95" t="s">
        <v>19</v>
      </c>
      <c r="M61" s="95" t="s">
        <v>20</v>
      </c>
      <c r="N61" s="97">
        <v>45657</v>
      </c>
    </row>
    <row r="62" spans="1:14" x14ac:dyDescent="0.25">
      <c r="B62" s="80" t="s">
        <v>112</v>
      </c>
      <c r="C62" s="81"/>
      <c r="D62" s="81"/>
      <c r="E62" s="82">
        <f>E15-E35-E9+E29</f>
        <v>-1208</v>
      </c>
      <c r="F62" s="82">
        <f t="shared" ref="F62:I62" si="17">F15-F35-F9+F29</f>
        <v>-866</v>
      </c>
      <c r="G62" s="82">
        <f t="shared" si="17"/>
        <v>-829</v>
      </c>
      <c r="H62" s="82">
        <f t="shared" si="17"/>
        <v>-1387</v>
      </c>
      <c r="I62" s="242">
        <f t="shared" si="17"/>
        <v>-1238</v>
      </c>
      <c r="J62" s="82">
        <f>J15-J35</f>
        <v>-1016.8983849895892</v>
      </c>
      <c r="K62" s="82">
        <f t="shared" ref="K62:N62" si="18">K15-K35</f>
        <v>-1035.9855498013897</v>
      </c>
      <c r="L62" s="82">
        <f t="shared" si="18"/>
        <v>-1053.6215462206069</v>
      </c>
      <c r="M62" s="82">
        <f t="shared" si="18"/>
        <v>-1057.5979160500424</v>
      </c>
      <c r="N62" s="83">
        <f t="shared" si="18"/>
        <v>-1072.9263799266312</v>
      </c>
    </row>
    <row r="63" spans="1:14" ht="16.5" thickBot="1" x14ac:dyDescent="0.3">
      <c r="B63" s="84" t="s">
        <v>113</v>
      </c>
      <c r="C63" s="85"/>
      <c r="D63" s="85"/>
      <c r="E63" s="85"/>
      <c r="F63" s="87">
        <f>F62-E62</f>
        <v>342</v>
      </c>
      <c r="G63" s="87">
        <f t="shared" ref="G63:I63" si="19">G62-F62</f>
        <v>37</v>
      </c>
      <c r="H63" s="87">
        <f t="shared" si="19"/>
        <v>-558</v>
      </c>
      <c r="I63" s="243">
        <f t="shared" si="19"/>
        <v>149</v>
      </c>
      <c r="J63" s="87">
        <f t="shared" ref="J63" si="20">J62-I62</f>
        <v>221.1016150104108</v>
      </c>
      <c r="K63" s="87">
        <f t="shared" ref="K63" si="21">K62-J62</f>
        <v>-19.087164811800449</v>
      </c>
      <c r="L63" s="87">
        <f t="shared" ref="L63" si="22">L62-K62</f>
        <v>-17.635996419217236</v>
      </c>
      <c r="M63" s="87">
        <f t="shared" ref="M63" si="23">M62-L62</f>
        <v>-3.9763698294354981</v>
      </c>
      <c r="N63" s="88">
        <f t="shared" ref="N63" si="24">N62-M62</f>
        <v>-15.328463876588785</v>
      </c>
    </row>
    <row r="65" spans="1:14" ht="16.5" thickBot="1" x14ac:dyDescent="0.3">
      <c r="B65" s="77" t="s">
        <v>114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</row>
    <row r="66" spans="1:14" ht="16.5" thickBot="1" x14ac:dyDescent="0.3"/>
    <row r="67" spans="1:14" x14ac:dyDescent="0.25">
      <c r="A67" t="s">
        <v>449</v>
      </c>
      <c r="B67" s="46" t="s">
        <v>2</v>
      </c>
      <c r="C67" s="47"/>
      <c r="D67" s="74"/>
      <c r="E67" s="51" t="s">
        <v>3</v>
      </c>
      <c r="F67" s="51" t="s">
        <v>4</v>
      </c>
      <c r="G67" s="51" t="s">
        <v>5</v>
      </c>
      <c r="H67" s="51" t="s">
        <v>6</v>
      </c>
      <c r="I67" s="89" t="s">
        <v>7</v>
      </c>
      <c r="J67" s="51" t="s">
        <v>8</v>
      </c>
      <c r="K67" s="51" t="s">
        <v>9</v>
      </c>
      <c r="L67" s="51" t="s">
        <v>10</v>
      </c>
      <c r="M67" s="51" t="s">
        <v>11</v>
      </c>
      <c r="N67" s="52" t="s">
        <v>12</v>
      </c>
    </row>
    <row r="68" spans="1:14" ht="16.5" thickBot="1" x14ac:dyDescent="0.3">
      <c r="B68" s="92"/>
      <c r="C68" s="93" t="s">
        <v>13</v>
      </c>
      <c r="D68" s="93"/>
      <c r="E68" s="94">
        <v>42369</v>
      </c>
      <c r="F68" s="94">
        <v>42735</v>
      </c>
      <c r="G68" s="95" t="s">
        <v>14</v>
      </c>
      <c r="H68" s="95" t="s">
        <v>15</v>
      </c>
      <c r="I68" s="96" t="s">
        <v>16</v>
      </c>
      <c r="J68" s="95" t="s">
        <v>17</v>
      </c>
      <c r="K68" s="95" t="s">
        <v>18</v>
      </c>
      <c r="L68" s="95" t="s">
        <v>19</v>
      </c>
      <c r="M68" s="95" t="s">
        <v>20</v>
      </c>
      <c r="N68" s="244" t="s">
        <v>21</v>
      </c>
    </row>
    <row r="69" spans="1:14" x14ac:dyDescent="0.25">
      <c r="B69" s="80" t="s">
        <v>114</v>
      </c>
      <c r="C69" s="81"/>
      <c r="D69" s="81"/>
      <c r="E69" s="36">
        <v>-1019</v>
      </c>
      <c r="F69" s="36">
        <v>-719</v>
      </c>
      <c r="G69" s="36">
        <v>-650</v>
      </c>
      <c r="H69" s="36">
        <v>-632</v>
      </c>
      <c r="I69" s="60">
        <v>-736</v>
      </c>
      <c r="J69" s="82">
        <f>J70*'Income Statement'!J7</f>
        <v>-726.70783657889342</v>
      </c>
      <c r="K69" s="82">
        <f>K70*'Income Statement'!K7</f>
        <v>-751.77779218561352</v>
      </c>
      <c r="L69" s="82">
        <f>L70*'Income Statement'!L7</f>
        <v>-776.20050700861452</v>
      </c>
      <c r="M69" s="82">
        <f>M70*'Income Statement'!M7</f>
        <v>-791.1589737415992</v>
      </c>
      <c r="N69" s="83">
        <f>N70*'Income Statement'!N7</f>
        <v>-814.75184175573781</v>
      </c>
    </row>
    <row r="70" spans="1:14" ht="16.5" thickBot="1" x14ac:dyDescent="0.3">
      <c r="B70" s="84" t="s">
        <v>115</v>
      </c>
      <c r="C70" s="245" t="s">
        <v>116</v>
      </c>
      <c r="D70" s="85"/>
      <c r="E70" s="246">
        <f>E69/'Income Statement'!E7</f>
        <v>-0.15505173463177116</v>
      </c>
      <c r="F70" s="246">
        <f>F69/'Income Statement'!F7</f>
        <v>-0.18559628291171915</v>
      </c>
      <c r="G70" s="246">
        <f>G69/'Income Statement'!G7</f>
        <v>-0.16584458780220709</v>
      </c>
      <c r="H70" s="246">
        <f>H69/'Income Statement'!H7</f>
        <v>-0.16020324316256612</v>
      </c>
      <c r="I70" s="249">
        <f>I69/'Income Statement'!I7</f>
        <v>-0.16975814077931903</v>
      </c>
      <c r="J70" s="247">
        <f>AVERAGE(E70:I70)</f>
        <v>-0.16729079785751649</v>
      </c>
      <c r="K70" s="247">
        <f>J70</f>
        <v>-0.16729079785751649</v>
      </c>
      <c r="L70" s="247">
        <f t="shared" ref="L70:N70" si="25">K70</f>
        <v>-0.16729079785751649</v>
      </c>
      <c r="M70" s="247">
        <f t="shared" si="25"/>
        <v>-0.16729079785751649</v>
      </c>
      <c r="N70" s="248">
        <f t="shared" si="25"/>
        <v>-0.16729079785751649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09A7-4C5E-4EC2-A8BB-A0029B182875}">
  <sheetPr>
    <tabColor theme="5" tint="0.39997558519241921"/>
  </sheetPr>
  <dimension ref="A2:AC74"/>
  <sheetViews>
    <sheetView showGridLines="0" zoomScaleNormal="100" workbookViewId="0"/>
  </sheetViews>
  <sheetFormatPr defaultColWidth="8.875" defaultRowHeight="15.75" x14ac:dyDescent="0.25"/>
  <cols>
    <col min="2" max="2" width="14.375" customWidth="1"/>
    <col min="4" max="4" width="31.125" customWidth="1"/>
    <col min="5" max="6" width="15" customWidth="1"/>
    <col min="7" max="7" width="16.625" bestFit="1" customWidth="1"/>
    <col min="8" max="9" width="15" customWidth="1"/>
    <col min="10" max="10" width="16.625" customWidth="1"/>
    <col min="11" max="11" width="14.625" customWidth="1"/>
    <col min="12" max="14" width="15" customWidth="1"/>
    <col min="16" max="16" width="8.875" customWidth="1"/>
    <col min="17" max="17" width="16.75" bestFit="1" customWidth="1"/>
    <col min="19" max="19" width="10.625" bestFit="1" customWidth="1"/>
    <col min="20" max="20" width="10.375" bestFit="1" customWidth="1"/>
    <col min="21" max="22" width="10.625" bestFit="1" customWidth="1"/>
    <col min="23" max="23" width="11.125" bestFit="1" customWidth="1"/>
  </cols>
  <sheetData>
    <row r="2" spans="1:29" x14ac:dyDescent="0.25">
      <c r="B2" s="33" t="s">
        <v>117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29" ht="16.5" thickBot="1" x14ac:dyDescent="0.3">
      <c r="B3" s="34"/>
      <c r="C3" s="34" t="s">
        <v>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29" ht="16.5" thickBot="1" x14ac:dyDescent="0.3"/>
    <row r="5" spans="1:29" x14ac:dyDescent="0.25">
      <c r="A5" t="s">
        <v>449</v>
      </c>
      <c r="B5" s="46" t="s">
        <v>2</v>
      </c>
      <c r="C5" s="47"/>
      <c r="D5" s="74"/>
      <c r="E5" s="51" t="s">
        <v>3</v>
      </c>
      <c r="F5" s="51" t="s">
        <v>4</v>
      </c>
      <c r="G5" s="51" t="s">
        <v>5</v>
      </c>
      <c r="H5" s="51" t="s">
        <v>6</v>
      </c>
      <c r="I5" s="89" t="s">
        <v>7</v>
      </c>
      <c r="J5" s="51" t="s">
        <v>8</v>
      </c>
      <c r="K5" s="51" t="s">
        <v>9</v>
      </c>
      <c r="L5" s="51" t="s">
        <v>10</v>
      </c>
      <c r="M5" s="51" t="s">
        <v>11</v>
      </c>
      <c r="N5" s="52" t="s">
        <v>12</v>
      </c>
    </row>
    <row r="6" spans="1:29" x14ac:dyDescent="0.25">
      <c r="B6" s="53"/>
      <c r="C6" s="50" t="s">
        <v>13</v>
      </c>
      <c r="D6" s="50"/>
      <c r="E6" s="49">
        <v>42369</v>
      </c>
      <c r="F6" s="49">
        <v>42735</v>
      </c>
      <c r="G6" s="48" t="s">
        <v>14</v>
      </c>
      <c r="H6" s="48" t="s">
        <v>15</v>
      </c>
      <c r="I6" s="397" t="s">
        <v>16</v>
      </c>
      <c r="J6" s="48" t="s">
        <v>17</v>
      </c>
      <c r="K6" s="48" t="s">
        <v>18</v>
      </c>
      <c r="L6" s="48" t="s">
        <v>19</v>
      </c>
      <c r="M6" s="48" t="s">
        <v>20</v>
      </c>
      <c r="N6" s="54" t="s">
        <v>21</v>
      </c>
    </row>
    <row r="7" spans="1:29" x14ac:dyDescent="0.25">
      <c r="B7" s="80" t="s">
        <v>118</v>
      </c>
      <c r="C7" s="81"/>
      <c r="D7" s="81"/>
      <c r="E7" s="231">
        <f>'Income Statement'!E7</f>
        <v>6572</v>
      </c>
      <c r="F7" s="231">
        <f>'Income Statement'!F7</f>
        <v>3874</v>
      </c>
      <c r="G7" s="231">
        <f>'Income Statement'!G7</f>
        <v>3919.3320000000003</v>
      </c>
      <c r="H7" s="231">
        <f>'Income Statement'!H7</f>
        <v>3944.9888000000001</v>
      </c>
      <c r="I7" s="398">
        <f>'Income Statement'!I7</f>
        <v>4335.58</v>
      </c>
      <c r="J7" s="231">
        <f>'Revenue Build'!J11</f>
        <v>4343.9797399844965</v>
      </c>
      <c r="K7" s="231">
        <f>'Revenue Build'!K11</f>
        <v>4493.8382852708455</v>
      </c>
      <c r="L7" s="231">
        <f>'Revenue Build'!L11</f>
        <v>4639.8278742726388</v>
      </c>
      <c r="M7" s="231">
        <f>'Revenue Build'!M11</f>
        <v>4729.2438309454319</v>
      </c>
      <c r="N7" s="232">
        <f>'Revenue Build'!N11</f>
        <v>4870.2729151287294</v>
      </c>
    </row>
    <row r="8" spans="1:29" x14ac:dyDescent="0.25">
      <c r="B8" s="103" t="s">
        <v>23</v>
      </c>
      <c r="C8" s="81"/>
      <c r="D8" s="81"/>
      <c r="E8" s="81"/>
      <c r="F8" s="233">
        <f>'Income Statement'!F8</f>
        <v>-0.41052951917224589</v>
      </c>
      <c r="G8" s="233">
        <f>'Income Statement'!G8</f>
        <v>1.1701600413009938E-2</v>
      </c>
      <c r="H8" s="233">
        <f>'Income Statement'!H8</f>
        <v>6.5462175697286185E-3</v>
      </c>
      <c r="I8" s="399">
        <f>'Income Statement'!I8</f>
        <v>9.9009457263858458E-2</v>
      </c>
      <c r="J8" s="233">
        <f>J7/I7-1</f>
        <v>1.9373970690188536E-3</v>
      </c>
      <c r="K8" s="233">
        <f>K7/J7-1</f>
        <v>3.4497984395959413E-2</v>
      </c>
      <c r="L8" s="233">
        <f>L7/K7-1</f>
        <v>3.2486613833055289E-2</v>
      </c>
      <c r="M8" s="233">
        <f>M7/L7-1</f>
        <v>1.9271395210282538E-2</v>
      </c>
      <c r="N8" s="234">
        <f>N7/M7-1</f>
        <v>2.9820641359298294E-2</v>
      </c>
      <c r="V8" s="175"/>
      <c r="W8" s="241"/>
      <c r="X8" s="241"/>
      <c r="Y8" s="241"/>
      <c r="Z8" s="175"/>
      <c r="AA8" s="241"/>
      <c r="AB8" s="241"/>
      <c r="AC8" s="241"/>
    </row>
    <row r="9" spans="1:29" x14ac:dyDescent="0.25">
      <c r="B9" s="80"/>
      <c r="C9" s="81"/>
      <c r="D9" s="81"/>
      <c r="E9" s="81"/>
      <c r="F9" s="81"/>
      <c r="G9" s="81"/>
      <c r="H9" s="81"/>
      <c r="I9" s="256"/>
      <c r="J9" s="56"/>
      <c r="K9" s="56"/>
      <c r="L9" s="56"/>
      <c r="M9" s="56"/>
      <c r="N9" s="235"/>
      <c r="V9" s="241"/>
      <c r="W9" s="79"/>
      <c r="X9" s="79"/>
      <c r="Y9" s="79"/>
      <c r="Z9" s="79"/>
      <c r="AA9" s="79"/>
      <c r="AB9" s="79"/>
      <c r="AC9" s="79"/>
    </row>
    <row r="10" spans="1:29" x14ac:dyDescent="0.25">
      <c r="B10" s="80" t="s">
        <v>119</v>
      </c>
      <c r="C10" s="81"/>
      <c r="D10" s="81"/>
      <c r="E10" s="236">
        <f>'Income Statement'!E20</f>
        <v>898</v>
      </c>
      <c r="F10" s="236">
        <f>'Income Statement'!F20</f>
        <v>219</v>
      </c>
      <c r="G10" s="236">
        <f>'Income Statement'!G20</f>
        <v>424.33200000000033</v>
      </c>
      <c r="H10" s="236">
        <f>'Income Statement'!H20</f>
        <v>472.98880000000008</v>
      </c>
      <c r="I10" s="400">
        <f>'Income Statement'!I20</f>
        <v>447.57999999999993</v>
      </c>
      <c r="J10" s="82">
        <f>'Income Statement'!J20</f>
        <v>501.92276443528954</v>
      </c>
      <c r="K10" s="82">
        <f>'Income Statement'!K20</f>
        <v>557.43571355555787</v>
      </c>
      <c r="L10" s="82">
        <f>'Income Statement'!L20</f>
        <v>614.98344924990761</v>
      </c>
      <c r="M10" s="82">
        <f>'Income Statement'!M20</f>
        <v>667.03361091122179</v>
      </c>
      <c r="N10" s="83">
        <f>'Income Statement'!N20</f>
        <v>728.32230077539771</v>
      </c>
      <c r="V10" s="241"/>
      <c r="W10" s="79"/>
      <c r="X10" s="79"/>
      <c r="Y10" s="79"/>
      <c r="Z10" s="79"/>
      <c r="AA10" s="79"/>
      <c r="AB10" s="79"/>
      <c r="AC10" s="79"/>
    </row>
    <row r="11" spans="1:29" x14ac:dyDescent="0.25">
      <c r="B11" s="103" t="s">
        <v>120</v>
      </c>
      <c r="C11" s="81"/>
      <c r="D11" s="81"/>
      <c r="E11" s="237">
        <f>E10/E7</f>
        <v>0.13664029214850881</v>
      </c>
      <c r="F11" s="237">
        <f t="shared" ref="F11:I11" si="0">F10/F7</f>
        <v>5.6530717604543111E-2</v>
      </c>
      <c r="G11" s="237">
        <f t="shared" si="0"/>
        <v>0.10826640866351722</v>
      </c>
      <c r="H11" s="237">
        <f t="shared" si="0"/>
        <v>0.11989610718286452</v>
      </c>
      <c r="I11" s="257">
        <f t="shared" si="0"/>
        <v>0.10323416936142336</v>
      </c>
      <c r="J11" s="237">
        <f>J10/J7</f>
        <v>0.11554445335352344</v>
      </c>
      <c r="K11" s="237">
        <f>K10/K7</f>
        <v>0.1240444533535236</v>
      </c>
      <c r="L11" s="237">
        <f>L10/L7</f>
        <v>0.13254445335352344</v>
      </c>
      <c r="M11" s="237">
        <f>M10/M7</f>
        <v>0.1410444533535235</v>
      </c>
      <c r="N11" s="238">
        <f>N10/N7</f>
        <v>0.14954445335352359</v>
      </c>
      <c r="V11" s="241"/>
      <c r="W11" s="79"/>
      <c r="X11" s="79"/>
      <c r="Y11" s="79"/>
      <c r="Z11" s="79"/>
      <c r="AA11" s="79"/>
      <c r="AB11" s="79"/>
      <c r="AC11" s="79"/>
    </row>
    <row r="12" spans="1:29" x14ac:dyDescent="0.25">
      <c r="B12" s="80"/>
      <c r="C12" s="81"/>
      <c r="D12" s="81"/>
      <c r="E12" s="81"/>
      <c r="F12" s="81"/>
      <c r="G12" s="81"/>
      <c r="H12" s="81"/>
      <c r="I12" s="256"/>
      <c r="J12" s="81"/>
      <c r="K12" s="81"/>
      <c r="L12" s="81"/>
      <c r="M12" s="81"/>
      <c r="N12" s="122"/>
      <c r="V12" s="176"/>
      <c r="W12" s="79"/>
      <c r="X12" s="79"/>
      <c r="Y12" s="79"/>
      <c r="Z12" s="79"/>
      <c r="AA12" s="79"/>
      <c r="AB12" s="79"/>
      <c r="AC12" s="79"/>
    </row>
    <row r="13" spans="1:29" x14ac:dyDescent="0.25">
      <c r="B13" s="80" t="s">
        <v>121</v>
      </c>
      <c r="C13" s="81"/>
      <c r="D13" s="81"/>
      <c r="E13" s="239">
        <f>'Income Statement'!E16</f>
        <v>1281</v>
      </c>
      <c r="F13" s="239">
        <f>'Income Statement'!F16</f>
        <v>853</v>
      </c>
      <c r="G13" s="239">
        <f>'Income Statement'!G16</f>
        <v>812</v>
      </c>
      <c r="H13" s="239">
        <f>'Income Statement'!H16</f>
        <v>802</v>
      </c>
      <c r="I13" s="401">
        <f>'Income Statement'!I16</f>
        <v>1100</v>
      </c>
      <c r="J13" s="82">
        <f>'Income Statement'!J16</f>
        <v>937.68482029784514</v>
      </c>
      <c r="K13" s="82">
        <f>'Income Statement'!K16</f>
        <v>963.29229916890188</v>
      </c>
      <c r="L13" s="82">
        <f>'Income Statement'!L16</f>
        <v>987.62666228894909</v>
      </c>
      <c r="M13" s="82">
        <f>'Income Statement'!M16</f>
        <v>999.56574027171348</v>
      </c>
      <c r="N13" s="83">
        <f>'Income Statement'!N16</f>
        <v>1022.0680223547046</v>
      </c>
      <c r="V13" s="241"/>
      <c r="W13" s="79"/>
      <c r="X13" s="79"/>
      <c r="Y13" s="79"/>
      <c r="Z13" s="79"/>
      <c r="AA13" s="79"/>
      <c r="AB13" s="79"/>
      <c r="AC13" s="79"/>
    </row>
    <row r="14" spans="1:29" x14ac:dyDescent="0.25">
      <c r="B14" s="103" t="s">
        <v>56</v>
      </c>
      <c r="C14" s="81"/>
      <c r="D14" s="81"/>
      <c r="E14" s="237">
        <f>'Income Statement'!E17</f>
        <v>0.19491783323189288</v>
      </c>
      <c r="F14" s="237">
        <f>'Income Statement'!F17</f>
        <v>0.22018585441404234</v>
      </c>
      <c r="G14" s="237">
        <f>'Income Statement'!G17</f>
        <v>0.20717816199291103</v>
      </c>
      <c r="H14" s="237">
        <f>'Income Statement'!H17</f>
        <v>0.20329588768414247</v>
      </c>
      <c r="I14" s="257">
        <f>'Income Statement'!I17</f>
        <v>0.2537146125777866</v>
      </c>
      <c r="J14" s="237">
        <f>J13/J7</f>
        <v>0.21585846998015504</v>
      </c>
      <c r="K14" s="237">
        <f>K13/K7</f>
        <v>0.21435846998015504</v>
      </c>
      <c r="L14" s="237">
        <f>L13/L7</f>
        <v>0.21285846998015504</v>
      </c>
      <c r="M14" s="237">
        <f>M13/M7</f>
        <v>0.21135846998015503</v>
      </c>
      <c r="N14" s="238">
        <f>N13/N7</f>
        <v>0.20985846998015503</v>
      </c>
      <c r="V14" s="241"/>
      <c r="W14" s="79"/>
      <c r="X14" s="79"/>
      <c r="Y14" s="79"/>
      <c r="Z14" s="79"/>
      <c r="AA14" s="79"/>
      <c r="AB14" s="79"/>
      <c r="AC14" s="79"/>
    </row>
    <row r="15" spans="1:29" x14ac:dyDescent="0.25">
      <c r="B15" s="80"/>
      <c r="C15" s="81"/>
      <c r="D15" s="81"/>
      <c r="E15" s="81"/>
      <c r="F15" s="81"/>
      <c r="G15" s="81"/>
      <c r="H15" s="81"/>
      <c r="I15" s="256"/>
      <c r="J15" s="81"/>
      <c r="K15" s="81"/>
      <c r="L15" s="81"/>
      <c r="M15" s="81"/>
      <c r="N15" s="122"/>
      <c r="V15" s="241"/>
      <c r="W15" s="79"/>
      <c r="X15" s="79"/>
      <c r="Y15" s="79"/>
      <c r="Z15" s="79"/>
      <c r="AA15" s="79"/>
      <c r="AB15" s="79"/>
      <c r="AC15" s="79"/>
    </row>
    <row r="16" spans="1:29" x14ac:dyDescent="0.25">
      <c r="B16" s="80" t="s">
        <v>122</v>
      </c>
      <c r="C16" s="81"/>
      <c r="D16" s="81"/>
      <c r="E16" s="82">
        <f>E10+E13</f>
        <v>2179</v>
      </c>
      <c r="F16" s="82">
        <f t="shared" ref="F16:I16" si="1">F10+F13</f>
        <v>1072</v>
      </c>
      <c r="G16" s="82">
        <f t="shared" si="1"/>
        <v>1236.3320000000003</v>
      </c>
      <c r="H16" s="82">
        <f t="shared" si="1"/>
        <v>1274.9888000000001</v>
      </c>
      <c r="I16" s="242">
        <f t="shared" si="1"/>
        <v>1547.58</v>
      </c>
      <c r="J16" s="82">
        <f>DCF!J10+DCF!J13</f>
        <v>1439.6075847331347</v>
      </c>
      <c r="K16" s="82">
        <f>DCF!K10+DCF!K13</f>
        <v>1520.7280127244599</v>
      </c>
      <c r="L16" s="82">
        <f>DCF!L10+DCF!L13</f>
        <v>1602.6101115388567</v>
      </c>
      <c r="M16" s="82">
        <f>DCF!M10+DCF!M13</f>
        <v>1666.5993511829352</v>
      </c>
      <c r="N16" s="83">
        <f>DCF!N10+DCF!N13</f>
        <v>1750.3903231301024</v>
      </c>
    </row>
    <row r="17" spans="1:14" x14ac:dyDescent="0.25">
      <c r="B17" s="103" t="s">
        <v>120</v>
      </c>
      <c r="C17" s="81"/>
      <c r="D17" s="81"/>
      <c r="E17" s="237">
        <f>E16/E7</f>
        <v>0.33155812538040169</v>
      </c>
      <c r="F17" s="237">
        <f t="shared" ref="F17:I17" si="2">F16/F7</f>
        <v>0.27671657201858546</v>
      </c>
      <c r="G17" s="237">
        <f t="shared" si="2"/>
        <v>0.31544457065642822</v>
      </c>
      <c r="H17" s="237">
        <f t="shared" si="2"/>
        <v>0.323191994867007</v>
      </c>
      <c r="I17" s="257">
        <f t="shared" si="2"/>
        <v>0.35694878193920998</v>
      </c>
      <c r="J17" s="237">
        <f>J16/J7</f>
        <v>0.33140292333367849</v>
      </c>
      <c r="K17" s="237">
        <f>K16/K7</f>
        <v>0.33840292333367866</v>
      </c>
      <c r="L17" s="237">
        <f>L16/L7</f>
        <v>0.3454029233336785</v>
      </c>
      <c r="M17" s="237">
        <f>M16/M7</f>
        <v>0.35240292333367851</v>
      </c>
      <c r="N17" s="238">
        <f>N16/N7</f>
        <v>0.35940292333367863</v>
      </c>
    </row>
    <row r="18" spans="1:14" x14ac:dyDescent="0.25">
      <c r="B18" s="80"/>
      <c r="C18" s="81"/>
      <c r="D18" s="81"/>
      <c r="E18" s="81"/>
      <c r="F18" s="81"/>
      <c r="G18" s="81"/>
      <c r="H18" s="81"/>
      <c r="I18" s="256"/>
      <c r="J18" s="81"/>
      <c r="K18" s="81"/>
      <c r="L18" s="81"/>
      <c r="M18" s="81"/>
      <c r="N18" s="122"/>
    </row>
    <row r="19" spans="1:14" x14ac:dyDescent="0.25">
      <c r="B19" s="80" t="s">
        <v>123</v>
      </c>
      <c r="C19" s="81"/>
      <c r="D19" s="81"/>
      <c r="E19" s="239">
        <f>'Income Statement'!E25</f>
        <v>278</v>
      </c>
      <c r="F19" s="239">
        <f>'Income Statement'!F25</f>
        <v>179</v>
      </c>
      <c r="G19" s="239">
        <f>'Income Statement'!G25</f>
        <v>162</v>
      </c>
      <c r="H19" s="239">
        <f>'Income Statement'!H25</f>
        <v>112</v>
      </c>
      <c r="I19" s="401">
        <f>'Income Statement'!I25</f>
        <v>120</v>
      </c>
      <c r="J19" s="239">
        <f>'Income Statement'!J25</f>
        <v>5.7056610192790966</v>
      </c>
      <c r="K19" s="239">
        <f>'Income Statement'!K25</f>
        <v>52.822051351310513</v>
      </c>
      <c r="L19" s="239">
        <f>'Income Statement'!L25</f>
        <v>101.66545853231335</v>
      </c>
      <c r="M19" s="239">
        <f>'Income Statement'!M25</f>
        <v>145.84282205819409</v>
      </c>
      <c r="N19" s="240">
        <f>'Income Statement'!N25</f>
        <v>197.86134891258888</v>
      </c>
    </row>
    <row r="20" spans="1:14" x14ac:dyDescent="0.25">
      <c r="B20" s="258" t="s">
        <v>70</v>
      </c>
      <c r="C20" s="259"/>
      <c r="D20" s="259"/>
      <c r="E20" s="340">
        <f>'Income Statement'!E26</f>
        <v>-3.3493975903614457</v>
      </c>
      <c r="F20" s="340">
        <f>'Income Statement'!F26</f>
        <v>-2.9833333333333334</v>
      </c>
      <c r="G20" s="340">
        <f>'Income Statement'!G26</f>
        <v>1.0429274071022046</v>
      </c>
      <c r="H20" s="340">
        <f>'Income Statement'!H26</f>
        <v>0.94924263997938718</v>
      </c>
      <c r="I20" s="402">
        <f>'Income Statement'!I26</f>
        <v>0.55406778095853748</v>
      </c>
      <c r="J20" s="340">
        <f>'Income Statement'!J26</f>
        <v>0.84874594268004311</v>
      </c>
      <c r="K20" s="340">
        <f>'Income Statement'!K26</f>
        <v>0.84874594268004311</v>
      </c>
      <c r="L20" s="340">
        <f>'Income Statement'!L26</f>
        <v>0.84874594268004311</v>
      </c>
      <c r="M20" s="340">
        <f>'Income Statement'!M26</f>
        <v>0.84874594268004311</v>
      </c>
      <c r="N20" s="341">
        <f>'Income Statement'!N26</f>
        <v>0.84874594268004311</v>
      </c>
    </row>
    <row r="21" spans="1:14" x14ac:dyDescent="0.25">
      <c r="A21" t="s">
        <v>449</v>
      </c>
      <c r="B21" s="342" t="s">
        <v>124</v>
      </c>
      <c r="C21" s="264"/>
      <c r="D21" s="264"/>
      <c r="E21" s="265">
        <f>E10-E19</f>
        <v>620</v>
      </c>
      <c r="F21" s="265">
        <f t="shared" ref="F21:H21" si="3">F10-F19</f>
        <v>40</v>
      </c>
      <c r="G21" s="265">
        <f t="shared" si="3"/>
        <v>262.33200000000033</v>
      </c>
      <c r="H21" s="265">
        <f t="shared" si="3"/>
        <v>360.98880000000008</v>
      </c>
      <c r="I21" s="266">
        <f t="shared" ref="I21:N21" si="4">I10-I19</f>
        <v>327.57999999999993</v>
      </c>
      <c r="J21" s="265">
        <f t="shared" si="4"/>
        <v>496.21710341601045</v>
      </c>
      <c r="K21" s="265">
        <f t="shared" si="4"/>
        <v>504.61366220424736</v>
      </c>
      <c r="L21" s="265">
        <f t="shared" si="4"/>
        <v>513.31799071759428</v>
      </c>
      <c r="M21" s="265">
        <f t="shared" si="4"/>
        <v>521.1907888530277</v>
      </c>
      <c r="N21" s="267">
        <f t="shared" si="4"/>
        <v>530.46095186280877</v>
      </c>
    </row>
    <row r="22" spans="1:14" x14ac:dyDescent="0.25">
      <c r="B22" s="80"/>
      <c r="C22" s="81" t="s">
        <v>121</v>
      </c>
      <c r="D22" s="81"/>
      <c r="E22" s="82">
        <f>E13</f>
        <v>1281</v>
      </c>
      <c r="F22" s="82">
        <f t="shared" ref="F22:H22" si="5">F13</f>
        <v>853</v>
      </c>
      <c r="G22" s="82">
        <f t="shared" si="5"/>
        <v>812</v>
      </c>
      <c r="H22" s="82">
        <f t="shared" si="5"/>
        <v>802</v>
      </c>
      <c r="I22" s="242">
        <f t="shared" ref="I22:N22" si="6">I13</f>
        <v>1100</v>
      </c>
      <c r="J22" s="82">
        <f t="shared" si="6"/>
        <v>937.68482029784514</v>
      </c>
      <c r="K22" s="82">
        <f t="shared" si="6"/>
        <v>963.29229916890188</v>
      </c>
      <c r="L22" s="82">
        <f t="shared" si="6"/>
        <v>987.62666228894909</v>
      </c>
      <c r="M22" s="82">
        <f t="shared" si="6"/>
        <v>999.56574027171348</v>
      </c>
      <c r="N22" s="83">
        <f t="shared" si="6"/>
        <v>1022.0680223547046</v>
      </c>
    </row>
    <row r="23" spans="1:14" x14ac:dyDescent="0.25">
      <c r="B23" s="80"/>
      <c r="C23" s="81" t="s">
        <v>114</v>
      </c>
      <c r="D23" s="81"/>
      <c r="E23" s="239">
        <f>'Balance Sheet'!E69</f>
        <v>-1019</v>
      </c>
      <c r="F23" s="239">
        <f>'Balance Sheet'!F69</f>
        <v>-719</v>
      </c>
      <c r="G23" s="239">
        <f>'Balance Sheet'!G69</f>
        <v>-650</v>
      </c>
      <c r="H23" s="239">
        <f>'Balance Sheet'!H69</f>
        <v>-632</v>
      </c>
      <c r="I23" s="401">
        <f>'Balance Sheet'!I69</f>
        <v>-736</v>
      </c>
      <c r="J23" s="239">
        <f>'Balance Sheet'!J69</f>
        <v>-726.70783657889342</v>
      </c>
      <c r="K23" s="239">
        <f>'Balance Sheet'!K69</f>
        <v>-751.77779218561352</v>
      </c>
      <c r="L23" s="239">
        <f>'Balance Sheet'!L69</f>
        <v>-776.20050700861452</v>
      </c>
      <c r="M23" s="239">
        <f>'Balance Sheet'!M69</f>
        <v>-791.1589737415992</v>
      </c>
      <c r="N23" s="240">
        <f>'Balance Sheet'!N69</f>
        <v>-814.75184175573781</v>
      </c>
    </row>
    <row r="24" spans="1:14" x14ac:dyDescent="0.25">
      <c r="B24" s="258"/>
      <c r="C24" s="259" t="s">
        <v>113</v>
      </c>
      <c r="D24" s="259"/>
      <c r="E24" s="343">
        <f>'Balance Sheet'!E63</f>
        <v>0</v>
      </c>
      <c r="F24" s="343">
        <f>'Balance Sheet'!F63</f>
        <v>342</v>
      </c>
      <c r="G24" s="343">
        <f>'Balance Sheet'!G63</f>
        <v>37</v>
      </c>
      <c r="H24" s="343">
        <f>'Balance Sheet'!H63</f>
        <v>-558</v>
      </c>
      <c r="I24" s="403">
        <f>'Balance Sheet'!I63</f>
        <v>149</v>
      </c>
      <c r="J24" s="343">
        <f>'Balance Sheet'!J63</f>
        <v>221.1016150104108</v>
      </c>
      <c r="K24" s="343">
        <f>'Balance Sheet'!K63</f>
        <v>-19.087164811800449</v>
      </c>
      <c r="L24" s="343">
        <f>'Balance Sheet'!L63</f>
        <v>-17.635996419217236</v>
      </c>
      <c r="M24" s="343">
        <f>'Balance Sheet'!M63</f>
        <v>-3.9763698294354981</v>
      </c>
      <c r="N24" s="344">
        <f>'Balance Sheet'!N63</f>
        <v>-15.328463876588785</v>
      </c>
    </row>
    <row r="25" spans="1:14" x14ac:dyDescent="0.25">
      <c r="A25" t="s">
        <v>449</v>
      </c>
      <c r="B25" s="80" t="s">
        <v>125</v>
      </c>
      <c r="C25" s="81"/>
      <c r="D25" s="81"/>
      <c r="E25" s="82">
        <f>E21+E22+E23-E24</f>
        <v>882</v>
      </c>
      <c r="F25" s="82">
        <f t="shared" ref="F25:I25" si="7">F21+F22+F23-F24</f>
        <v>-168</v>
      </c>
      <c r="G25" s="82">
        <f t="shared" si="7"/>
        <v>387.33200000000033</v>
      </c>
      <c r="H25" s="82">
        <f t="shared" si="7"/>
        <v>1088.9888000000001</v>
      </c>
      <c r="I25" s="242">
        <f t="shared" si="7"/>
        <v>542.57999999999993</v>
      </c>
      <c r="J25" s="82">
        <f>J21+J22+J23-J24</f>
        <v>486.09247212455125</v>
      </c>
      <c r="K25" s="82">
        <f>K21+K22+K23-K24</f>
        <v>735.21533399933617</v>
      </c>
      <c r="L25" s="82">
        <f>L21+L22+L23-L24</f>
        <v>742.38014241714609</v>
      </c>
      <c r="M25" s="82">
        <f>M21+M22+M23-M24</f>
        <v>733.57392521257736</v>
      </c>
      <c r="N25" s="83">
        <f>N21+N22+N23-N24</f>
        <v>753.10559633836419</v>
      </c>
    </row>
    <row r="26" spans="1:14" x14ac:dyDescent="0.25">
      <c r="B26" s="80" t="s">
        <v>126</v>
      </c>
      <c r="C26" s="81"/>
      <c r="D26" s="81"/>
      <c r="E26" s="81"/>
      <c r="F26" s="81"/>
      <c r="G26" s="81"/>
      <c r="H26" s="81"/>
      <c r="I26" s="256"/>
      <c r="J26" s="81">
        <v>0.25</v>
      </c>
      <c r="K26" s="81">
        <f>J26+1</f>
        <v>1.25</v>
      </c>
      <c r="L26" s="81">
        <f>K26+1</f>
        <v>2.25</v>
      </c>
      <c r="M26" s="81">
        <f>L26+1</f>
        <v>3.25</v>
      </c>
      <c r="N26" s="122">
        <f>M26+1</f>
        <v>4.25</v>
      </c>
    </row>
    <row r="27" spans="1:14" ht="16.5" thickBot="1" x14ac:dyDescent="0.3">
      <c r="A27" t="s">
        <v>449</v>
      </c>
      <c r="B27" s="84" t="s">
        <v>127</v>
      </c>
      <c r="C27" s="85"/>
      <c r="D27" s="85"/>
      <c r="E27" s="85"/>
      <c r="F27" s="85"/>
      <c r="G27" s="85"/>
      <c r="H27" s="85"/>
      <c r="I27" s="404"/>
      <c r="J27" s="87">
        <f>J25/(1+$H$31)^J26</f>
        <v>477.59680514460456</v>
      </c>
      <c r="K27" s="87">
        <f>K25/(1+$H$31)^K26</f>
        <v>673.17370559486267</v>
      </c>
      <c r="L27" s="87">
        <f>L25/(1+$H$31)^L26</f>
        <v>633.44513399915161</v>
      </c>
      <c r="M27" s="87">
        <f>M25/(1+$H$31)^M26</f>
        <v>583.3062284648081</v>
      </c>
      <c r="N27" s="88">
        <f>N25/(1+$H$31)^N26</f>
        <v>558.05714476719265</v>
      </c>
    </row>
    <row r="29" spans="1:14" ht="16.5" thickBot="1" x14ac:dyDescent="0.3"/>
    <row r="30" spans="1:14" ht="16.5" thickBot="1" x14ac:dyDescent="0.3">
      <c r="G30" s="189" t="s">
        <v>128</v>
      </c>
      <c r="H30" s="190"/>
      <c r="J30" s="117" t="s">
        <v>129</v>
      </c>
      <c r="K30" s="280">
        <v>1</v>
      </c>
    </row>
    <row r="31" spans="1:14" ht="16.5" thickBot="1" x14ac:dyDescent="0.3">
      <c r="G31" s="80" t="s">
        <v>130</v>
      </c>
      <c r="H31" s="375">
        <f>WACC!$C$13</f>
        <v>7.3074636569442061E-2</v>
      </c>
    </row>
    <row r="32" spans="1:14" ht="16.5" thickBot="1" x14ac:dyDescent="0.3">
      <c r="G32" s="80" t="s">
        <v>131</v>
      </c>
      <c r="H32" s="187">
        <f>SUM($J$27:$N$27)</f>
        <v>2925.5790179706196</v>
      </c>
      <c r="J32" s="189" t="s">
        <v>446</v>
      </c>
      <c r="K32" s="190"/>
    </row>
    <row r="33" spans="1:14" x14ac:dyDescent="0.25">
      <c r="G33" s="80" t="s">
        <v>132</v>
      </c>
      <c r="H33" s="187">
        <f>CHOOSE(K30,K34,K41)</f>
        <v>11649.251940595474</v>
      </c>
      <c r="J33" s="80" t="s">
        <v>133</v>
      </c>
      <c r="K33" s="229">
        <f>Comps!$N$24</f>
        <v>6.6552309999999997</v>
      </c>
    </row>
    <row r="34" spans="1:14" x14ac:dyDescent="0.25">
      <c r="G34" s="80" t="s">
        <v>134</v>
      </c>
      <c r="H34" s="187">
        <f>H33/(1+H31)^N26</f>
        <v>8632.1869180767117</v>
      </c>
      <c r="J34" s="80" t="s">
        <v>132</v>
      </c>
      <c r="K34" s="83">
        <f>K33*N16</f>
        <v>11649.251940595474</v>
      </c>
    </row>
    <row r="35" spans="1:14" ht="16.5" thickBot="1" x14ac:dyDescent="0.3">
      <c r="G35" s="80" t="s">
        <v>135</v>
      </c>
      <c r="H35" s="187">
        <f>H34+H32</f>
        <v>11557.765936047332</v>
      </c>
      <c r="J35" s="84" t="s">
        <v>136</v>
      </c>
      <c r="K35" s="191">
        <f>(K34*H31-N25)/(N25+K34)</f>
        <v>7.9145642458865115E-3</v>
      </c>
    </row>
    <row r="36" spans="1:14" ht="16.5" thickBot="1" x14ac:dyDescent="0.3">
      <c r="G36" s="80" t="s">
        <v>137</v>
      </c>
      <c r="H36" s="240">
        <f>-('Balance Sheet'!$I$29+'Balance Sheet'!$I$30+'Balance Sheet'!$I$37)-'Balance Sheet'!$I$9</f>
        <v>-7982</v>
      </c>
    </row>
    <row r="37" spans="1:14" x14ac:dyDescent="0.25">
      <c r="G37" s="80" t="s">
        <v>138</v>
      </c>
      <c r="H37" s="240">
        <f>-'Balance Sheet'!$I$43</f>
        <v>-271</v>
      </c>
      <c r="J37" s="184" t="s">
        <v>447</v>
      </c>
      <c r="K37" s="185"/>
    </row>
    <row r="38" spans="1:14" x14ac:dyDescent="0.25">
      <c r="G38" s="80" t="s">
        <v>139</v>
      </c>
      <c r="H38" s="187">
        <f>H35+H36+H37</f>
        <v>3304.7659360473317</v>
      </c>
      <c r="J38" s="80" t="s">
        <v>140</v>
      </c>
      <c r="K38" s="83">
        <f>N25</f>
        <v>753.10559633836419</v>
      </c>
    </row>
    <row r="39" spans="1:14" x14ac:dyDescent="0.25">
      <c r="G39" s="80" t="s">
        <v>141</v>
      </c>
      <c r="H39" s="122">
        <v>101.7</v>
      </c>
      <c r="J39" s="80" t="s">
        <v>142</v>
      </c>
      <c r="K39" s="192">
        <f>H31</f>
        <v>7.3074636569442061E-2</v>
      </c>
    </row>
    <row r="40" spans="1:14" x14ac:dyDescent="0.25">
      <c r="G40" s="80" t="s">
        <v>143</v>
      </c>
      <c r="H40" s="142">
        <f>H38/H39</f>
        <v>32.495240275784973</v>
      </c>
      <c r="J40" s="80" t="s">
        <v>144</v>
      </c>
      <c r="K40" s="281">
        <v>0.01</v>
      </c>
    </row>
    <row r="41" spans="1:14" x14ac:dyDescent="0.25">
      <c r="G41" s="80" t="s">
        <v>145</v>
      </c>
      <c r="H41" s="122">
        <v>28.31</v>
      </c>
      <c r="J41" s="80" t="s">
        <v>132</v>
      </c>
      <c r="K41" s="83">
        <f>K38*(1+K40)/(K39-K40)</f>
        <v>12059.310900100461</v>
      </c>
    </row>
    <row r="42" spans="1:14" ht="16.5" thickBot="1" x14ac:dyDescent="0.3">
      <c r="G42" s="84" t="s">
        <v>146</v>
      </c>
      <c r="H42" s="188">
        <f>H40/H41-1</f>
        <v>0.14783611005951869</v>
      </c>
      <c r="J42" s="84" t="s">
        <v>147</v>
      </c>
      <c r="K42" s="193">
        <f>K41/N16</f>
        <v>6.8894981540663611</v>
      </c>
    </row>
    <row r="45" spans="1:14" ht="16.5" thickBot="1" x14ac:dyDescent="0.3">
      <c r="A45" t="s">
        <v>449</v>
      </c>
      <c r="B45" s="77" t="s">
        <v>148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</row>
    <row r="47" spans="1:14" x14ac:dyDescent="0.25">
      <c r="B47" s="32"/>
      <c r="C47" s="32"/>
      <c r="D47" s="353"/>
      <c r="E47" s="353"/>
      <c r="F47" s="353"/>
      <c r="G47" s="353"/>
      <c r="H47" s="353"/>
      <c r="I47" s="354" t="s">
        <v>130</v>
      </c>
      <c r="J47" s="353"/>
      <c r="K47" s="353"/>
      <c r="L47" s="353"/>
      <c r="M47" s="353"/>
      <c r="N47" s="353"/>
    </row>
    <row r="48" spans="1:14" ht="16.5" thickBot="1" x14ac:dyDescent="0.3">
      <c r="B48" s="32"/>
      <c r="C48" s="355">
        <f>H40</f>
        <v>32.495240275784973</v>
      </c>
      <c r="D48" s="356">
        <v>6.8074636569442057E-2</v>
      </c>
      <c r="E48" s="356">
        <v>6.9074636569442058E-2</v>
      </c>
      <c r="F48" s="356">
        <v>7.0074636569442059E-2</v>
      </c>
      <c r="G48" s="356">
        <v>7.107463656944206E-2</v>
      </c>
      <c r="H48" s="356">
        <v>7.207463656944206E-2</v>
      </c>
      <c r="I48" s="356">
        <v>7.3074636569442061E-2</v>
      </c>
      <c r="J48" s="356">
        <v>7.4074636569442062E-2</v>
      </c>
      <c r="K48" s="356">
        <v>7.5074636569442063E-2</v>
      </c>
      <c r="L48" s="356">
        <v>7.6074636569442064E-2</v>
      </c>
      <c r="M48" s="356">
        <v>7.7074636569442065E-2</v>
      </c>
      <c r="N48" s="356">
        <v>7.8074636569442066E-2</v>
      </c>
    </row>
    <row r="49" spans="1:14" x14ac:dyDescent="0.25">
      <c r="B49" s="32"/>
      <c r="C49" s="357">
        <v>7.1552309999999979</v>
      </c>
      <c r="D49" s="359">
        <v>41.009317189360452</v>
      </c>
      <c r="E49" s="322">
        <v>40.577803070771957</v>
      </c>
      <c r="F49" s="322">
        <v>40.148335826326218</v>
      </c>
      <c r="G49" s="322">
        <v>39.72090372060245</v>
      </c>
      <c r="H49" s="322">
        <v>39.2954950966582</v>
      </c>
      <c r="I49" s="322">
        <v>38.872098375429957</v>
      </c>
      <c r="J49" s="322">
        <v>38.450702055140468</v>
      </c>
      <c r="K49" s="322">
        <v>38.031294710709695</v>
      </c>
      <c r="L49" s="322">
        <v>37.613864993172172</v>
      </c>
      <c r="M49" s="322">
        <v>37.198401629097923</v>
      </c>
      <c r="N49" s="323">
        <v>36.784893420019728</v>
      </c>
    </row>
    <row r="50" spans="1:14" x14ac:dyDescent="0.25">
      <c r="B50" s="32"/>
      <c r="C50" s="357">
        <v>7.0552309999999983</v>
      </c>
      <c r="D50" s="360">
        <v>39.708377564080664</v>
      </c>
      <c r="E50" s="82">
        <v>39.282027346130015</v>
      </c>
      <c r="F50" s="82">
        <v>38.857698705646264</v>
      </c>
      <c r="G50" s="82">
        <v>38.435380054597502</v>
      </c>
      <c r="H50" s="82">
        <v>38.015059882434898</v>
      </c>
      <c r="I50" s="82">
        <v>37.596726755500953</v>
      </c>
      <c r="J50" s="82">
        <v>37.180369316444462</v>
      </c>
      <c r="K50" s="82">
        <v>36.765976283638921</v>
      </c>
      <c r="L50" s="82">
        <v>36.353536450607351</v>
      </c>
      <c r="M50" s="82">
        <v>35.943038685450567</v>
      </c>
      <c r="N50" s="83">
        <v>35.534471930281853</v>
      </c>
    </row>
    <row r="51" spans="1:14" x14ac:dyDescent="0.25">
      <c r="B51" s="32"/>
      <c r="C51" s="357">
        <v>6.9552309999999986</v>
      </c>
      <c r="D51" s="360">
        <v>38.407437938800882</v>
      </c>
      <c r="E51" s="82">
        <v>37.986251621488073</v>
      </c>
      <c r="F51" s="82">
        <v>37.567061584966332</v>
      </c>
      <c r="G51" s="82">
        <v>37.149856388592596</v>
      </c>
      <c r="H51" s="82">
        <v>36.734624668211602</v>
      </c>
      <c r="I51" s="82">
        <v>36.321355135571963</v>
      </c>
      <c r="J51" s="82">
        <v>35.910036577748457</v>
      </c>
      <c r="K51" s="82">
        <v>35.500657856568161</v>
      </c>
      <c r="L51" s="82">
        <v>35.093207908042544</v>
      </c>
      <c r="M51" s="82">
        <v>34.687675741803254</v>
      </c>
      <c r="N51" s="83">
        <v>34.284050440544007</v>
      </c>
    </row>
    <row r="52" spans="1:14" x14ac:dyDescent="0.25">
      <c r="B52" s="32"/>
      <c r="C52" s="357">
        <v>6.855230999999999</v>
      </c>
      <c r="D52" s="360">
        <v>37.106498313521094</v>
      </c>
      <c r="E52" s="82">
        <v>36.690475896846131</v>
      </c>
      <c r="F52" s="82">
        <v>36.276424464286379</v>
      </c>
      <c r="G52" s="363">
        <v>35.864332722587648</v>
      </c>
      <c r="H52" s="265">
        <v>35.454189453988306</v>
      </c>
      <c r="I52" s="265">
        <v>35.045983515642959</v>
      </c>
      <c r="J52" s="265">
        <v>34.639703839052459</v>
      </c>
      <c r="K52" s="266">
        <v>34.235339429497401</v>
      </c>
      <c r="L52" s="82">
        <v>33.832879365477716</v>
      </c>
      <c r="M52" s="82">
        <v>33.432312798155905</v>
      </c>
      <c r="N52" s="83">
        <v>33.03362895080614</v>
      </c>
    </row>
    <row r="53" spans="1:14" ht="16.5" thickBot="1" x14ac:dyDescent="0.3">
      <c r="B53" s="358" t="s">
        <v>149</v>
      </c>
      <c r="C53" s="357">
        <v>6.7552309999999993</v>
      </c>
      <c r="D53" s="360">
        <v>35.805558688241334</v>
      </c>
      <c r="E53" s="82">
        <v>35.394700172204189</v>
      </c>
      <c r="F53" s="82">
        <v>34.985787343606447</v>
      </c>
      <c r="G53" s="330">
        <v>34.578809056582742</v>
      </c>
      <c r="H53" s="82">
        <v>34.173754239765024</v>
      </c>
      <c r="I53" s="82">
        <v>33.770611895713976</v>
      </c>
      <c r="J53" s="82">
        <v>33.369371100356467</v>
      </c>
      <c r="K53" s="242">
        <v>32.970021002426641</v>
      </c>
      <c r="L53" s="82">
        <v>32.572550822912909</v>
      </c>
      <c r="M53" s="82">
        <v>32.176949854508585</v>
      </c>
      <c r="N53" s="83">
        <v>31.78320746106828</v>
      </c>
    </row>
    <row r="54" spans="1:14" ht="16.5" thickBot="1" x14ac:dyDescent="0.3">
      <c r="B54" s="358" t="s">
        <v>150</v>
      </c>
      <c r="C54" s="357">
        <v>6.6552309999999997</v>
      </c>
      <c r="D54" s="360">
        <v>34.504619062961545</v>
      </c>
      <c r="E54" s="82">
        <v>34.098924447562233</v>
      </c>
      <c r="F54" s="82">
        <v>33.6951502229265</v>
      </c>
      <c r="G54" s="330">
        <v>33.293285390577793</v>
      </c>
      <c r="H54" s="82">
        <v>32.893319025541722</v>
      </c>
      <c r="I54" s="362">
        <v>32.495240275784973</v>
      </c>
      <c r="J54" s="82">
        <v>32.099038361660469</v>
      </c>
      <c r="K54" s="242">
        <v>31.70470257535586</v>
      </c>
      <c r="L54" s="82">
        <v>31.312222280348085</v>
      </c>
      <c r="M54" s="82">
        <v>30.921586910861233</v>
      </c>
      <c r="N54" s="83">
        <v>30.532785971330419</v>
      </c>
    </row>
    <row r="55" spans="1:14" x14ac:dyDescent="0.25">
      <c r="B55" s="32"/>
      <c r="C55" s="357">
        <v>6.6452309999999999</v>
      </c>
      <c r="D55" s="360">
        <v>34.374525100433566</v>
      </c>
      <c r="E55" s="82">
        <v>33.969346875098061</v>
      </c>
      <c r="F55" s="82">
        <v>33.566086510858518</v>
      </c>
      <c r="G55" s="330">
        <v>33.164733023977327</v>
      </c>
      <c r="H55" s="82">
        <v>32.765275504119401</v>
      </c>
      <c r="I55" s="82">
        <v>32.367703113792075</v>
      </c>
      <c r="J55" s="82">
        <v>31.972005087790883</v>
      </c>
      <c r="K55" s="242">
        <v>31.578170732648783</v>
      </c>
      <c r="L55" s="82">
        <v>31.186189426091609</v>
      </c>
      <c r="M55" s="82">
        <v>30.796050616496508</v>
      </c>
      <c r="N55" s="83">
        <v>30.407743822356647</v>
      </c>
    </row>
    <row r="56" spans="1:14" x14ac:dyDescent="0.25">
      <c r="B56" s="32"/>
      <c r="C56" s="357">
        <v>6.6352310000000001</v>
      </c>
      <c r="D56" s="360">
        <v>34.244431137905586</v>
      </c>
      <c r="E56" s="82">
        <v>33.839769302633854</v>
      </c>
      <c r="F56" s="82">
        <v>33.43702279879053</v>
      </c>
      <c r="G56" s="364">
        <v>33.036180657376818</v>
      </c>
      <c r="H56" s="365">
        <v>32.63723198269706</v>
      </c>
      <c r="I56" s="365">
        <v>32.240165951799185</v>
      </c>
      <c r="J56" s="365">
        <v>31.84497181392128</v>
      </c>
      <c r="K56" s="366">
        <v>31.451638889941709</v>
      </c>
      <c r="L56" s="82">
        <v>31.060156571835133</v>
      </c>
      <c r="M56" s="82">
        <v>30.670514322131783</v>
      </c>
      <c r="N56" s="83">
        <v>30.282701673382839</v>
      </c>
    </row>
    <row r="57" spans="1:14" x14ac:dyDescent="0.25">
      <c r="B57" s="32"/>
      <c r="C57" s="357">
        <v>6.6252310000000003</v>
      </c>
      <c r="D57" s="360">
        <v>34.114337175377621</v>
      </c>
      <c r="E57" s="82">
        <v>33.710191730169662</v>
      </c>
      <c r="F57" s="82">
        <v>33.307959086722533</v>
      </c>
      <c r="G57" s="82">
        <v>32.907628290776351</v>
      </c>
      <c r="H57" s="82">
        <v>32.509188461274732</v>
      </c>
      <c r="I57" s="82">
        <v>32.112628789806287</v>
      </c>
      <c r="J57" s="82">
        <v>31.71793854005168</v>
      </c>
      <c r="K57" s="82">
        <v>31.325107047234649</v>
      </c>
      <c r="L57" s="82">
        <v>30.934123717578654</v>
      </c>
      <c r="M57" s="82">
        <v>30.544978027767055</v>
      </c>
      <c r="N57" s="83">
        <v>30.157659524409066</v>
      </c>
    </row>
    <row r="58" spans="1:14" x14ac:dyDescent="0.25">
      <c r="B58" s="32"/>
      <c r="C58" s="357">
        <v>6.6152310000000005</v>
      </c>
      <c r="D58" s="360">
        <v>33.984243212849641</v>
      </c>
      <c r="E58" s="82">
        <v>33.580614157705476</v>
      </c>
      <c r="F58" s="82">
        <v>33.178895374654537</v>
      </c>
      <c r="G58" s="82">
        <v>32.779075924175849</v>
      </c>
      <c r="H58" s="82">
        <v>32.381144939852412</v>
      </c>
      <c r="I58" s="82">
        <v>31.985091627813375</v>
      </c>
      <c r="J58" s="82">
        <v>31.590905266182077</v>
      </c>
      <c r="K58" s="82">
        <v>31.198575204527554</v>
      </c>
      <c r="L58" s="82">
        <v>30.80809086332216</v>
      </c>
      <c r="M58" s="82">
        <v>30.419441733402312</v>
      </c>
      <c r="N58" s="83">
        <v>30.032617375435276</v>
      </c>
    </row>
    <row r="59" spans="1:14" ht="16.5" thickBot="1" x14ac:dyDescent="0.3">
      <c r="B59" s="32"/>
      <c r="C59" s="357">
        <v>6.6052310000000007</v>
      </c>
      <c r="D59" s="361">
        <v>33.854149250321662</v>
      </c>
      <c r="E59" s="87">
        <v>33.451036585241283</v>
      </c>
      <c r="F59" s="87">
        <v>33.049831662586563</v>
      </c>
      <c r="G59" s="87">
        <v>32.65052355757534</v>
      </c>
      <c r="H59" s="87">
        <v>32.253101418430084</v>
      </c>
      <c r="I59" s="87">
        <v>31.857554465820495</v>
      </c>
      <c r="J59" s="87">
        <v>31.463871992312491</v>
      </c>
      <c r="K59" s="87">
        <v>31.072043361820498</v>
      </c>
      <c r="L59" s="87">
        <v>30.682058009065699</v>
      </c>
      <c r="M59" s="87">
        <v>30.293905439037587</v>
      </c>
      <c r="N59" s="88">
        <v>29.907575226461507</v>
      </c>
    </row>
    <row r="62" spans="1:14" x14ac:dyDescent="0.25">
      <c r="A62" t="s">
        <v>449</v>
      </c>
      <c r="B62" s="32"/>
      <c r="C62" s="32"/>
      <c r="D62" s="353"/>
      <c r="E62" s="353"/>
      <c r="F62" s="353"/>
      <c r="G62" s="353"/>
      <c r="H62" s="353"/>
      <c r="I62" s="354" t="s">
        <v>130</v>
      </c>
      <c r="J62" s="353"/>
      <c r="K62" s="353"/>
      <c r="L62" s="353"/>
      <c r="M62" s="353"/>
      <c r="N62" s="353"/>
    </row>
    <row r="63" spans="1:14" ht="16.5" thickBot="1" x14ac:dyDescent="0.3">
      <c r="B63" s="32"/>
      <c r="C63" s="355">
        <f>H40</f>
        <v>32.495240275784973</v>
      </c>
      <c r="D63" s="356">
        <v>6.8074636569442057E-2</v>
      </c>
      <c r="E63" s="356">
        <v>6.9074636569442058E-2</v>
      </c>
      <c r="F63" s="356">
        <v>7.0074636569442059E-2</v>
      </c>
      <c r="G63" s="356">
        <v>7.107463656944206E-2</v>
      </c>
      <c r="H63" s="356">
        <v>7.207463656944206E-2</v>
      </c>
      <c r="I63" s="356">
        <v>7.3074636569442061E-2</v>
      </c>
      <c r="J63" s="356">
        <v>7.4074636569442062E-2</v>
      </c>
      <c r="K63" s="356">
        <v>7.5074636569442063E-2</v>
      </c>
      <c r="L63" s="356">
        <v>7.6074636569442064E-2</v>
      </c>
      <c r="M63" s="356">
        <v>7.7074636569442065E-2</v>
      </c>
      <c r="N63" s="356">
        <v>7.8074636569442066E-2</v>
      </c>
    </row>
    <row r="64" spans="1:14" x14ac:dyDescent="0.25">
      <c r="B64" s="32"/>
      <c r="C64" s="367">
        <f t="shared" ref="C64:C67" si="8">C65+0.001</f>
        <v>1.5000000000000003E-2</v>
      </c>
      <c r="D64" s="359">
        <v>54.966799437389561</v>
      </c>
      <c r="E64" s="322">
        <v>52.508203998495823</v>
      </c>
      <c r="F64" s="322">
        <v>50.138881160166406</v>
      </c>
      <c r="G64" s="322">
        <v>47.854054830199644</v>
      </c>
      <c r="H64" s="322">
        <v>45.649283642522697</v>
      </c>
      <c r="I64" s="322">
        <v>43.520432138574236</v>
      </c>
      <c r="J64" s="322">
        <v>41.46364487569268</v>
      </c>
      <c r="K64" s="322">
        <v>39.475323121447502</v>
      </c>
      <c r="L64" s="322">
        <v>37.552103837531291</v>
      </c>
      <c r="M64" s="322">
        <v>35.690840695021947</v>
      </c>
      <c r="N64" s="323">
        <v>33.888586895577156</v>
      </c>
    </row>
    <row r="65" spans="2:14" x14ac:dyDescent="0.25">
      <c r="B65" s="32"/>
      <c r="C65" s="367">
        <f t="shared" si="8"/>
        <v>1.4000000000000002E-2</v>
      </c>
      <c r="D65" s="360">
        <v>52.883752399464257</v>
      </c>
      <c r="E65" s="82">
        <v>50.506897582844275</v>
      </c>
      <c r="F65" s="82">
        <v>48.214810195449388</v>
      </c>
      <c r="G65" s="82">
        <v>46.00303462107302</v>
      </c>
      <c r="H65" s="82">
        <v>43.867422132577822</v>
      </c>
      <c r="I65" s="82">
        <v>41.804104917204242</v>
      </c>
      <c r="J65" s="82">
        <v>39.809472696122874</v>
      </c>
      <c r="K65" s="82">
        <v>37.880151640890922</v>
      </c>
      <c r="L65" s="82">
        <v>36.012985327799903</v>
      </c>
      <c r="M65" s="82">
        <v>34.205017503947225</v>
      </c>
      <c r="N65" s="83">
        <v>32.45347646710794</v>
      </c>
    </row>
    <row r="66" spans="2:14" x14ac:dyDescent="0.25">
      <c r="B66" s="32"/>
      <c r="C66" s="367">
        <f t="shared" si="8"/>
        <v>1.3000000000000001E-2</v>
      </c>
      <c r="D66" s="360">
        <v>50.876349874791373</v>
      </c>
      <c r="E66" s="82">
        <v>48.576971261227676</v>
      </c>
      <c r="F66" s="82">
        <v>46.358162208095528</v>
      </c>
      <c r="G66" s="82">
        <v>44.215760663958221</v>
      </c>
      <c r="H66" s="82">
        <v>42.145886394010276</v>
      </c>
      <c r="I66" s="82">
        <v>40.144917524533355</v>
      </c>
      <c r="J66" s="82">
        <v>38.209469391637199</v>
      </c>
      <c r="K66" s="82">
        <v>36.336375434433791</v>
      </c>
      <c r="L66" s="82">
        <v>34.522669905757681</v>
      </c>
      <c r="M66" s="82">
        <v>32.765572201866497</v>
      </c>
      <c r="N66" s="83">
        <v>31.062472636973286</v>
      </c>
    </row>
    <row r="67" spans="2:14" x14ac:dyDescent="0.25">
      <c r="B67" s="32"/>
      <c r="C67" s="367">
        <f t="shared" si="8"/>
        <v>1.2E-2</v>
      </c>
      <c r="D67" s="360">
        <v>48.940544872545139</v>
      </c>
      <c r="E67" s="82">
        <v>46.7146730994249</v>
      </c>
      <c r="F67" s="82">
        <v>44.565454284667325</v>
      </c>
      <c r="G67" s="363">
        <v>42.48899571920154</v>
      </c>
      <c r="H67" s="265">
        <v>40.48166388568022</v>
      </c>
      <c r="I67" s="265">
        <v>38.540063239216636</v>
      </c>
      <c r="J67" s="265">
        <v>36.661017039131615</v>
      </c>
      <c r="K67" s="266">
        <v>34.84155000408645</v>
      </c>
      <c r="L67" s="82">
        <v>33.078872591404689</v>
      </c>
      <c r="M67" s="82">
        <v>31.370366725867491</v>
      </c>
      <c r="N67" s="83">
        <v>29.713572824427107</v>
      </c>
    </row>
    <row r="68" spans="2:14" ht="16.5" thickBot="1" x14ac:dyDescent="0.3">
      <c r="B68" s="358" t="s">
        <v>151</v>
      </c>
      <c r="C68" s="367">
        <f>C69+0.001</f>
        <v>1.0999999999999999E-2</v>
      </c>
      <c r="D68" s="360">
        <v>47.072574029869628</v>
      </c>
      <c r="E68" s="82">
        <v>44.916509584752482</v>
      </c>
      <c r="F68" s="82">
        <v>42.833439343118741</v>
      </c>
      <c r="G68" s="330">
        <v>40.819718094996873</v>
      </c>
      <c r="H68" s="82">
        <v>38.87193936871968</v>
      </c>
      <c r="I68" s="82">
        <v>36.986916200982087</v>
      </c>
      <c r="J68" s="82">
        <v>35.161663736156015</v>
      </c>
      <c r="K68" s="242">
        <v>33.393383455018196</v>
      </c>
      <c r="L68" s="82">
        <v>31.679448857619079</v>
      </c>
      <c r="M68" s="82">
        <v>30.01739244623781</v>
      </c>
      <c r="N68" s="83">
        <v>28.40489387274685</v>
      </c>
    </row>
    <row r="69" spans="2:14" ht="16.5" thickBot="1" x14ac:dyDescent="0.3">
      <c r="B69" s="358" t="s">
        <v>152</v>
      </c>
      <c r="C69" s="367">
        <v>0.01</v>
      </c>
      <c r="D69" s="360">
        <v>45.268933192615414</v>
      </c>
      <c r="E69" s="82">
        <v>43.179223753603665</v>
      </c>
      <c r="F69" s="82">
        <v>41.159086504595884</v>
      </c>
      <c r="G69" s="330">
        <v>39.205104001120603</v>
      </c>
      <c r="H69" s="82">
        <v>37.31407901419081</v>
      </c>
      <c r="I69" s="362">
        <v>35.483017073562692</v>
      </c>
      <c r="J69" s="82">
        <v>33.709110645659244</v>
      </c>
      <c r="K69" s="242">
        <v>31.989724770316506</v>
      </c>
      <c r="L69" s="82">
        <v>30.322384001806711</v>
      </c>
      <c r="M69" s="82">
        <v>28.70476051801931</v>
      </c>
      <c r="N69" s="83">
        <v>27.134663277683082</v>
      </c>
    </row>
    <row r="70" spans="2:14" x14ac:dyDescent="0.25">
      <c r="B70" s="32"/>
      <c r="C70" s="367">
        <f>C69-0.001</f>
        <v>9.0000000000000011E-3</v>
      </c>
      <c r="D70" s="360">
        <v>43.526355476253457</v>
      </c>
      <c r="E70" s="82">
        <v>41.499775503515849</v>
      </c>
      <c r="F70" s="82">
        <v>39.539563393520297</v>
      </c>
      <c r="G70" s="330">
        <v>37.64251160831607</v>
      </c>
      <c r="H70" s="82">
        <v>35.805616022508794</v>
      </c>
      <c r="I70" s="82">
        <v>34.026060050162513</v>
      </c>
      <c r="J70" s="82">
        <v>32.301200235231711</v>
      </c>
      <c r="K70" s="242">
        <v>30.628553150472921</v>
      </c>
      <c r="L70" s="82">
        <v>29.005783468284214</v>
      </c>
      <c r="M70" s="82">
        <v>27.43069308296203</v>
      </c>
      <c r="N70" s="83">
        <v>25.901211177828223</v>
      </c>
    </row>
    <row r="71" spans="2:14" x14ac:dyDescent="0.25">
      <c r="B71" s="32"/>
      <c r="C71" s="367">
        <f t="shared" ref="C71:C74" si="9">C70-0.001</f>
        <v>8.0000000000000002E-3</v>
      </c>
      <c r="D71" s="360">
        <v>41.841791517972212</v>
      </c>
      <c r="E71" s="82">
        <v>39.875323839389836</v>
      </c>
      <c r="F71" s="82">
        <v>37.972220148508512</v>
      </c>
      <c r="G71" s="364">
        <v>36.129466624035537</v>
      </c>
      <c r="H71" s="365">
        <v>34.34423758947419</v>
      </c>
      <c r="I71" s="365">
        <v>32.613881057042896</v>
      </c>
      <c r="J71" s="365">
        <v>30.935905584300595</v>
      </c>
      <c r="K71" s="366">
        <v>29.307968306479719</v>
      </c>
      <c r="L71" s="82">
        <v>27.727864023633369</v>
      </c>
      <c r="M71" s="82">
        <v>26.193515235699461</v>
      </c>
      <c r="N71" s="83">
        <v>24.702963030793963</v>
      </c>
    </row>
    <row r="72" spans="2:14" x14ac:dyDescent="0.25">
      <c r="B72" s="32"/>
      <c r="C72" s="367">
        <f t="shared" si="9"/>
        <v>7.0000000000000001E-3</v>
      </c>
      <c r="D72" s="360">
        <v>40.212391668817176</v>
      </c>
      <c r="E72" s="82">
        <v>38.303210835750669</v>
      </c>
      <c r="F72" s="82">
        <v>36.45457495425871</v>
      </c>
      <c r="G72" s="82">
        <v>34.663649218881147</v>
      </c>
      <c r="H72" s="82">
        <v>32.927773074060191</v>
      </c>
      <c r="I72" s="82">
        <v>31.244447028298087</v>
      </c>
      <c r="J72" s="82">
        <v>29.611320647823689</v>
      </c>
      <c r="K72" s="82">
        <v>28.026181608478716</v>
      </c>
      <c r="L72" s="82">
        <v>26.4869456985864</v>
      </c>
      <c r="M72" s="82">
        <v>24.991647677803481</v>
      </c>
      <c r="N72" s="83">
        <v>23.538432907653196</v>
      </c>
    </row>
    <row r="73" spans="2:14" x14ac:dyDescent="0.25">
      <c r="B73" s="32"/>
      <c r="C73" s="367">
        <f t="shared" si="9"/>
        <v>6.0000000000000001E-3</v>
      </c>
      <c r="D73" s="360">
        <v>38.635489907100272</v>
      </c>
      <c r="E73" s="82">
        <v>36.78094712460512</v>
      </c>
      <c r="F73" s="82">
        <v>34.984300928243506</v>
      </c>
      <c r="G73" s="82">
        <v>33.242882158451749</v>
      </c>
      <c r="H73" s="82">
        <v>31.554183240640825</v>
      </c>
      <c r="I73" s="82">
        <v>29.915846140030371</v>
      </c>
      <c r="J73" s="82">
        <v>28.325651378127489</v>
      </c>
      <c r="K73" s="82">
        <v>26.781508003261393</v>
      </c>
      <c r="L73" s="82">
        <v>25.28144441987169</v>
      </c>
      <c r="M73" s="82">
        <v>23.823599991971758</v>
      </c>
      <c r="N73" s="83">
        <v>22.406217345599927</v>
      </c>
    </row>
    <row r="74" spans="2:14" ht="16.5" thickBot="1" x14ac:dyDescent="0.3">
      <c r="B74" s="32"/>
      <c r="C74" s="367">
        <f t="shared" si="9"/>
        <v>5.0000000000000001E-3</v>
      </c>
      <c r="D74" s="361">
        <v>37.108589282051994</v>
      </c>
      <c r="E74" s="87">
        <v>35.3061987422276</v>
      </c>
      <c r="F74" s="87">
        <v>33.55921421647308</v>
      </c>
      <c r="G74" s="87">
        <v>31.865120012894245</v>
      </c>
      <c r="H74" s="87">
        <v>30.221550463529862</v>
      </c>
      <c r="I74" s="87">
        <v>28.626278905270624</v>
      </c>
      <c r="J74" s="87">
        <v>27.077207617925023</v>
      </c>
      <c r="K74" s="87">
        <v>25.572358623816786</v>
      </c>
      <c r="L74" s="87">
        <v>24.109865264066059</v>
      </c>
      <c r="M74" s="87">
        <v>22.687964476119006</v>
      </c>
      <c r="N74" s="88">
        <v>21.304989705353858</v>
      </c>
    </row>
  </sheetData>
  <conditionalFormatting sqref="W9:AC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N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N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K30" xr:uid="{05BB125E-7EE2-4F43-91BC-BCF118B48032}">
      <formula1>"1,2"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6507-E07C-644D-8CDC-AB0A061B70BE}">
  <sheetPr>
    <tabColor theme="5" tint="0.39997558519241921"/>
  </sheetPr>
  <dimension ref="A2:R44"/>
  <sheetViews>
    <sheetView showGridLines="0" zoomScaleNormal="100" workbookViewId="0"/>
  </sheetViews>
  <sheetFormatPr defaultColWidth="8.875" defaultRowHeight="15.75" x14ac:dyDescent="0.25"/>
  <cols>
    <col min="2" max="2" width="53.125" bestFit="1" customWidth="1"/>
    <col min="3" max="3" width="52" bestFit="1" customWidth="1"/>
    <col min="4" max="4" width="13.625" customWidth="1"/>
    <col min="5" max="5" width="10.125" bestFit="1" customWidth="1"/>
    <col min="6" max="6" width="16.625" bestFit="1" customWidth="1"/>
    <col min="7" max="7" width="10.375" bestFit="1" customWidth="1"/>
    <col min="8" max="9" width="11.375" bestFit="1" customWidth="1"/>
    <col min="10" max="10" width="21.25" bestFit="1" customWidth="1"/>
    <col min="11" max="11" width="21" bestFit="1" customWidth="1"/>
    <col min="12" max="12" width="13.125" bestFit="1" customWidth="1"/>
    <col min="17" max="17" width="19.875" bestFit="1" customWidth="1"/>
    <col min="18" max="18" width="18.375" bestFit="1" customWidth="1"/>
    <col min="19" max="19" width="9" bestFit="1" customWidth="1"/>
  </cols>
  <sheetData>
    <row r="2" spans="1:12" x14ac:dyDescent="0.25">
      <c r="B2" s="33" t="s">
        <v>130</v>
      </c>
      <c r="C2" s="32"/>
      <c r="D2" s="32"/>
      <c r="E2" s="32"/>
      <c r="F2" s="32"/>
      <c r="G2" s="32"/>
      <c r="H2" s="32"/>
      <c r="I2" s="35"/>
      <c r="J2" s="32"/>
    </row>
    <row r="3" spans="1:12" ht="16.5" thickBot="1" x14ac:dyDescent="0.3">
      <c r="B3" s="372" t="s">
        <v>1</v>
      </c>
      <c r="C3" s="85"/>
      <c r="D3" s="34"/>
      <c r="E3" s="34"/>
      <c r="F3" s="34"/>
      <c r="G3" s="34"/>
      <c r="H3" s="34"/>
      <c r="I3" s="34"/>
      <c r="J3" s="34"/>
      <c r="K3" s="368"/>
      <c r="L3" s="81"/>
    </row>
    <row r="4" spans="1:12" ht="16.5" thickBot="1" x14ac:dyDescent="0.3">
      <c r="L4" s="81"/>
    </row>
    <row r="5" spans="1:12" x14ac:dyDescent="0.25">
      <c r="A5" t="s">
        <v>449</v>
      </c>
      <c r="B5" s="143" t="s">
        <v>184</v>
      </c>
      <c r="C5" s="168"/>
      <c r="E5" s="126" t="s">
        <v>185</v>
      </c>
      <c r="F5" s="127"/>
      <c r="G5" s="128"/>
      <c r="I5" s="126" t="s">
        <v>208</v>
      </c>
      <c r="J5" s="127"/>
      <c r="K5" s="128"/>
    </row>
    <row r="6" spans="1:12" ht="16.5" thickBot="1" x14ac:dyDescent="0.3">
      <c r="B6" s="148" t="s">
        <v>186</v>
      </c>
      <c r="C6" s="169"/>
      <c r="E6" s="350" t="s">
        <v>187</v>
      </c>
      <c r="F6" s="351" t="s">
        <v>188</v>
      </c>
      <c r="G6" s="352" t="s">
        <v>189</v>
      </c>
      <c r="I6" s="350" t="s">
        <v>187</v>
      </c>
      <c r="J6" s="351" t="s">
        <v>188</v>
      </c>
      <c r="K6" s="352" t="s">
        <v>208</v>
      </c>
    </row>
    <row r="7" spans="1:12" x14ac:dyDescent="0.25">
      <c r="B7" s="150"/>
      <c r="C7" s="155"/>
      <c r="E7" s="80" t="s">
        <v>190</v>
      </c>
      <c r="F7" s="345">
        <v>0.35399999999999998</v>
      </c>
      <c r="G7" s="186">
        <v>8.0299999999999996E-2</v>
      </c>
      <c r="I7" s="80" t="s">
        <v>190</v>
      </c>
      <c r="J7" s="345">
        <v>0.35399999999999998</v>
      </c>
      <c r="K7" s="186">
        <v>0.32</v>
      </c>
    </row>
    <row r="8" spans="1:12" x14ac:dyDescent="0.25">
      <c r="B8" s="150" t="s">
        <v>191</v>
      </c>
      <c r="C8" s="155"/>
      <c r="E8" s="80" t="s">
        <v>29</v>
      </c>
      <c r="F8" s="345">
        <v>0.14699999999999999</v>
      </c>
      <c r="G8" s="186">
        <v>0.11840000000000001</v>
      </c>
      <c r="I8" s="80" t="s">
        <v>29</v>
      </c>
      <c r="J8" s="345">
        <v>0.14699999999999999</v>
      </c>
      <c r="K8" s="186">
        <v>0.25</v>
      </c>
    </row>
    <row r="9" spans="1:12" x14ac:dyDescent="0.25">
      <c r="B9" s="150" t="s">
        <v>192</v>
      </c>
      <c r="C9" s="170">
        <v>2.5000000000000001E-2</v>
      </c>
      <c r="E9" s="80" t="s">
        <v>37</v>
      </c>
      <c r="F9" s="346">
        <v>0.14000000000000001</v>
      </c>
      <c r="G9" s="186">
        <v>8.8999999999999996E-2</v>
      </c>
      <c r="I9" s="80" t="s">
        <v>37</v>
      </c>
      <c r="J9" s="345">
        <v>0.14000000000000001</v>
      </c>
      <c r="K9" s="186">
        <v>0.1</v>
      </c>
    </row>
    <row r="10" spans="1:12" x14ac:dyDescent="0.25">
      <c r="B10" s="150" t="s">
        <v>185</v>
      </c>
      <c r="C10" s="170">
        <f>G15</f>
        <v>0.1001977</v>
      </c>
      <c r="E10" s="80" t="s">
        <v>34</v>
      </c>
      <c r="F10" s="346">
        <v>0.11</v>
      </c>
      <c r="G10" s="186">
        <v>7.5800000000000006E-2</v>
      </c>
      <c r="I10" s="80" t="s">
        <v>34</v>
      </c>
      <c r="J10" s="345">
        <v>0.11</v>
      </c>
      <c r="K10" s="186">
        <v>0.25</v>
      </c>
    </row>
    <row r="11" spans="1:12" x14ac:dyDescent="0.25">
      <c r="B11" s="150" t="s">
        <v>193</v>
      </c>
      <c r="C11" s="178">
        <v>6.8931000000000006E-2</v>
      </c>
      <c r="E11" s="80" t="s">
        <v>32</v>
      </c>
      <c r="F11" s="345">
        <v>8.8999999999999996E-2</v>
      </c>
      <c r="G11" s="186">
        <v>0.1479</v>
      </c>
      <c r="I11" s="80" t="s">
        <v>32</v>
      </c>
      <c r="J11" s="345">
        <v>8.8999999999999996E-2</v>
      </c>
      <c r="K11" s="186">
        <v>0.3</v>
      </c>
    </row>
    <row r="12" spans="1:12" x14ac:dyDescent="0.25">
      <c r="B12" s="150"/>
      <c r="C12" s="155"/>
      <c r="E12" s="80" t="s">
        <v>45</v>
      </c>
      <c r="F12" s="345">
        <v>8.7999999999999995E-2</v>
      </c>
      <c r="G12" s="186">
        <v>0.11840000000000001</v>
      </c>
      <c r="I12" s="80" t="s">
        <v>45</v>
      </c>
      <c r="J12" s="345">
        <v>8.7999999999999995E-2</v>
      </c>
      <c r="K12" s="186">
        <v>0.3</v>
      </c>
    </row>
    <row r="13" spans="1:12" ht="16.5" thickBot="1" x14ac:dyDescent="0.3">
      <c r="B13" s="171" t="s">
        <v>130</v>
      </c>
      <c r="C13" s="172">
        <f>K44</f>
        <v>7.3074636569442061E-2</v>
      </c>
      <c r="E13" s="80" t="s">
        <v>36</v>
      </c>
      <c r="F13" s="345">
        <v>3.5999999999999997E-2</v>
      </c>
      <c r="G13" s="186">
        <v>0.1479</v>
      </c>
      <c r="I13" s="80" t="s">
        <v>36</v>
      </c>
      <c r="J13" s="345">
        <v>3.5999999999999997E-2</v>
      </c>
      <c r="K13" s="186">
        <v>0.3</v>
      </c>
    </row>
    <row r="14" spans="1:12" x14ac:dyDescent="0.25">
      <c r="E14" s="80" t="s">
        <v>194</v>
      </c>
      <c r="F14" s="345">
        <v>3.5000000000000003E-2</v>
      </c>
      <c r="G14" s="186">
        <v>0.13320000000000001</v>
      </c>
      <c r="I14" s="80" t="s">
        <v>194</v>
      </c>
      <c r="J14" s="345">
        <v>3.5000000000000003E-2</v>
      </c>
      <c r="K14" s="186">
        <v>0.3</v>
      </c>
    </row>
    <row r="15" spans="1:12" ht="16.5" thickBot="1" x14ac:dyDescent="0.3">
      <c r="E15" s="347" t="s">
        <v>195</v>
      </c>
      <c r="F15" s="348"/>
      <c r="G15" s="349">
        <f>SUMPRODUCT(F7:F14,G7:G14)</f>
        <v>0.1001977</v>
      </c>
      <c r="I15" s="347" t="s">
        <v>450</v>
      </c>
      <c r="J15" s="348"/>
      <c r="K15" s="349">
        <f>SUMPRODUCT(J7:J14,K7:K14)</f>
        <v>0.26593</v>
      </c>
    </row>
    <row r="16" spans="1:12" ht="16.5" thickBot="1" x14ac:dyDescent="0.3">
      <c r="E16" s="73"/>
      <c r="F16" s="73"/>
      <c r="G16" s="369"/>
    </row>
    <row r="17" spans="1:18" x14ac:dyDescent="0.25">
      <c r="A17" t="s">
        <v>449</v>
      </c>
      <c r="B17" s="126" t="s">
        <v>196</v>
      </c>
      <c r="C17" s="127"/>
      <c r="D17" s="127"/>
      <c r="E17" s="127"/>
      <c r="F17" s="127"/>
      <c r="G17" s="127"/>
      <c r="H17" s="127"/>
      <c r="I17" s="127"/>
      <c r="J17" s="127"/>
      <c r="K17" s="128"/>
    </row>
    <row r="18" spans="1:18" x14ac:dyDescent="0.25">
      <c r="B18" s="129" t="s">
        <v>156</v>
      </c>
      <c r="C18" s="130" t="s">
        <v>197</v>
      </c>
      <c r="D18" s="130" t="s">
        <v>198</v>
      </c>
      <c r="E18" s="130" t="s">
        <v>199</v>
      </c>
      <c r="F18" s="130" t="s">
        <v>200</v>
      </c>
      <c r="G18" s="130" t="s">
        <v>201</v>
      </c>
      <c r="H18" s="130" t="s">
        <v>139</v>
      </c>
      <c r="I18" s="130" t="s">
        <v>202</v>
      </c>
      <c r="J18" s="130" t="s">
        <v>203</v>
      </c>
      <c r="K18" s="131" t="s">
        <v>204</v>
      </c>
    </row>
    <row r="19" spans="1:18" x14ac:dyDescent="0.25">
      <c r="B19" s="98" t="s">
        <v>166</v>
      </c>
      <c r="C19" s="123">
        <v>1.48</v>
      </c>
      <c r="D19" s="123">
        <v>7414</v>
      </c>
      <c r="E19" s="135">
        <f>(D19/(D19+H19))</f>
        <v>0.72126235504708536</v>
      </c>
      <c r="F19" s="123">
        <v>0</v>
      </c>
      <c r="G19" s="123">
        <v>0</v>
      </c>
      <c r="H19" s="123">
        <v>2865.2</v>
      </c>
      <c r="I19" s="135">
        <f>1-E19</f>
        <v>0.27873764495291464</v>
      </c>
      <c r="J19" s="373">
        <f>K15</f>
        <v>0.26593</v>
      </c>
      <c r="K19" s="83">
        <f>C19/(1+(D19/H19)*(1-J19))</f>
        <v>0.51043605402149728</v>
      </c>
    </row>
    <row r="20" spans="1:18" x14ac:dyDescent="0.25">
      <c r="B20" s="80"/>
      <c r="C20" s="81"/>
      <c r="D20" s="81"/>
      <c r="E20" s="81"/>
      <c r="F20" s="81"/>
      <c r="G20" s="81"/>
      <c r="H20" s="81"/>
      <c r="I20" s="81"/>
      <c r="J20" s="81"/>
      <c r="K20" s="122"/>
    </row>
    <row r="21" spans="1:18" x14ac:dyDescent="0.25">
      <c r="B21" s="80" t="s">
        <v>167</v>
      </c>
      <c r="C21" s="124">
        <v>0.53</v>
      </c>
      <c r="D21" s="124">
        <v>9012.4</v>
      </c>
      <c r="E21" s="132">
        <f>D21/(D21+H21)</f>
        <v>0.43972793895215506</v>
      </c>
      <c r="F21" s="124">
        <v>0</v>
      </c>
      <c r="G21" s="124">
        <v>0</v>
      </c>
      <c r="H21" s="124">
        <v>11483</v>
      </c>
      <c r="I21" s="133">
        <f>1-E21</f>
        <v>0.56027206104784488</v>
      </c>
      <c r="J21" s="374">
        <v>0.26590000000000003</v>
      </c>
      <c r="K21" s="83">
        <f>C21/(1+(D21/H21)*(1-J21))</f>
        <v>0.33626106663454175</v>
      </c>
    </row>
    <row r="22" spans="1:18" x14ac:dyDescent="0.25">
      <c r="B22" s="80" t="s">
        <v>205</v>
      </c>
      <c r="C22" s="124">
        <v>0.6</v>
      </c>
      <c r="D22" s="124">
        <v>3476.8</v>
      </c>
      <c r="E22" s="132">
        <f t="shared" ref="E22:E30" si="0">D22/(D22+H22)</f>
        <v>0.29808211661622613</v>
      </c>
      <c r="F22" s="124">
        <v>0</v>
      </c>
      <c r="G22" s="124">
        <v>0</v>
      </c>
      <c r="H22" s="124">
        <v>8187.1</v>
      </c>
      <c r="I22" s="133">
        <f t="shared" ref="I22:I30" si="1">1-E22</f>
        <v>0.70191788338377381</v>
      </c>
      <c r="J22" s="374">
        <v>0.26590000000000003</v>
      </c>
      <c r="K22" s="83">
        <f t="shared" ref="K22:K30" si="2">C22/(1+(D22/H22)*(1-J22))</f>
        <v>0.45740463752169053</v>
      </c>
    </row>
    <row r="23" spans="1:18" x14ac:dyDescent="0.25">
      <c r="B23" s="80" t="s">
        <v>169</v>
      </c>
      <c r="C23" s="124">
        <v>1.44</v>
      </c>
      <c r="D23" s="124">
        <v>3924.9</v>
      </c>
      <c r="E23" s="132">
        <f t="shared" si="0"/>
        <v>0.60985425277354799</v>
      </c>
      <c r="F23" s="124">
        <v>0</v>
      </c>
      <c r="G23" s="124">
        <v>0</v>
      </c>
      <c r="H23" s="124">
        <v>2510.9</v>
      </c>
      <c r="I23" s="133">
        <f t="shared" si="1"/>
        <v>0.39014574722645201</v>
      </c>
      <c r="J23" s="374">
        <v>0.26590000000000003</v>
      </c>
      <c r="K23" s="83">
        <f t="shared" si="2"/>
        <v>0.67054573765230352</v>
      </c>
    </row>
    <row r="24" spans="1:18" x14ac:dyDescent="0.25">
      <c r="B24" s="80" t="s">
        <v>206</v>
      </c>
      <c r="C24" s="124">
        <v>0.51</v>
      </c>
      <c r="D24" s="124">
        <v>13403.6</v>
      </c>
      <c r="E24" s="132">
        <f t="shared" si="0"/>
        <v>0.46154693773544625</v>
      </c>
      <c r="F24" s="124">
        <v>0</v>
      </c>
      <c r="G24" s="124">
        <v>0</v>
      </c>
      <c r="H24" s="124">
        <v>15637</v>
      </c>
      <c r="I24" s="133">
        <f t="shared" si="1"/>
        <v>0.53845306226455381</v>
      </c>
      <c r="J24" s="374">
        <v>0.26590000000000003</v>
      </c>
      <c r="K24" s="83">
        <f t="shared" si="2"/>
        <v>0.31302746035944423</v>
      </c>
    </row>
    <row r="25" spans="1:18" x14ac:dyDescent="0.25">
      <c r="B25" s="80" t="s">
        <v>171</v>
      </c>
      <c r="C25" s="124">
        <v>0.56000000000000005</v>
      </c>
      <c r="D25" s="124">
        <v>9338.9</v>
      </c>
      <c r="E25" s="132">
        <f t="shared" si="0"/>
        <v>0.40466678221682989</v>
      </c>
      <c r="F25" s="124">
        <v>0</v>
      </c>
      <c r="G25" s="124">
        <v>0</v>
      </c>
      <c r="H25" s="124">
        <v>13739.1</v>
      </c>
      <c r="I25" s="133">
        <f t="shared" si="1"/>
        <v>0.59533321778317005</v>
      </c>
      <c r="J25" s="374">
        <v>0.26590000000000003</v>
      </c>
      <c r="K25" s="83">
        <f t="shared" si="2"/>
        <v>0.37358464501371974</v>
      </c>
    </row>
    <row r="26" spans="1:18" x14ac:dyDescent="0.25">
      <c r="B26" s="80" t="s">
        <v>172</v>
      </c>
      <c r="C26" s="124">
        <v>1.03</v>
      </c>
      <c r="D26" s="124">
        <v>55.7</v>
      </c>
      <c r="E26" s="132">
        <f t="shared" si="0"/>
        <v>1.4715595360756652E-2</v>
      </c>
      <c r="F26" s="124">
        <v>0</v>
      </c>
      <c r="G26" s="124">
        <v>0</v>
      </c>
      <c r="H26" s="124">
        <v>3729.4</v>
      </c>
      <c r="I26" s="133">
        <f t="shared" si="1"/>
        <v>0.98528440463924338</v>
      </c>
      <c r="J26" s="374">
        <v>0.26590000000000003</v>
      </c>
      <c r="K26" s="83">
        <f t="shared" si="2"/>
        <v>1.0188294910637057</v>
      </c>
    </row>
    <row r="27" spans="1:18" x14ac:dyDescent="0.25">
      <c r="B27" s="80" t="s">
        <v>173</v>
      </c>
      <c r="C27" s="124">
        <v>1.65</v>
      </c>
      <c r="D27" s="124">
        <v>8655.2000000000007</v>
      </c>
      <c r="E27" s="132">
        <f t="shared" si="0"/>
        <v>0.79131810161185623</v>
      </c>
      <c r="F27" s="124">
        <v>0</v>
      </c>
      <c r="G27" s="124">
        <v>0</v>
      </c>
      <c r="H27" s="124">
        <v>2282.5</v>
      </c>
      <c r="I27" s="133">
        <f t="shared" si="1"/>
        <v>0.20868189838814377</v>
      </c>
      <c r="J27" s="374">
        <v>0.26590000000000003</v>
      </c>
      <c r="K27" s="142">
        <f>C27/(1+(D27/H27)*(1-J27))</f>
        <v>0.43608173754097462</v>
      </c>
    </row>
    <row r="28" spans="1:18" x14ac:dyDescent="0.25">
      <c r="B28" s="80" t="s">
        <v>174</v>
      </c>
      <c r="C28" s="124">
        <v>2.1</v>
      </c>
      <c r="D28" s="124">
        <v>4279</v>
      </c>
      <c r="E28" s="132">
        <f t="shared" si="0"/>
        <v>0.58417179756720228</v>
      </c>
      <c r="F28" s="124">
        <v>0</v>
      </c>
      <c r="G28" s="124">
        <v>0</v>
      </c>
      <c r="H28" s="124">
        <v>3045.9</v>
      </c>
      <c r="I28" s="133">
        <f t="shared" si="1"/>
        <v>0.41582820243279772</v>
      </c>
      <c r="J28" s="374">
        <v>0.26590000000000003</v>
      </c>
      <c r="K28" s="83">
        <f t="shared" si="2"/>
        <v>1.0338245106494646</v>
      </c>
    </row>
    <row r="29" spans="1:18" x14ac:dyDescent="0.25">
      <c r="B29" s="80" t="s">
        <v>175</v>
      </c>
      <c r="C29" s="124">
        <v>0.81</v>
      </c>
      <c r="D29" s="124">
        <v>69484.600000000006</v>
      </c>
      <c r="E29" s="132">
        <f t="shared" si="0"/>
        <v>0.79978222685699951</v>
      </c>
      <c r="F29" s="124">
        <v>0</v>
      </c>
      <c r="G29" s="124">
        <v>0</v>
      </c>
      <c r="H29" s="124">
        <v>17394.8</v>
      </c>
      <c r="I29" s="133">
        <f t="shared" si="1"/>
        <v>0.20021777314300049</v>
      </c>
      <c r="J29" s="374">
        <v>0.26590000000000003</v>
      </c>
      <c r="K29" s="83">
        <f t="shared" si="2"/>
        <v>0.20598067873390433</v>
      </c>
      <c r="R29" s="119"/>
    </row>
    <row r="30" spans="1:18" x14ac:dyDescent="0.25">
      <c r="B30" s="80" t="s">
        <v>176</v>
      </c>
      <c r="C30" s="124">
        <v>0.34</v>
      </c>
      <c r="D30" s="124">
        <v>34857.800000000003</v>
      </c>
      <c r="E30" s="132">
        <f t="shared" si="0"/>
        <v>0.4607522923410628</v>
      </c>
      <c r="F30" s="124">
        <v>0</v>
      </c>
      <c r="G30" s="124">
        <v>0</v>
      </c>
      <c r="H30" s="124">
        <v>40796.300000000003</v>
      </c>
      <c r="I30" s="133">
        <f t="shared" si="1"/>
        <v>0.53924770765893726</v>
      </c>
      <c r="J30" s="374">
        <v>0.26590000000000003</v>
      </c>
      <c r="K30" s="83">
        <f t="shared" si="2"/>
        <v>0.20894262451999965</v>
      </c>
    </row>
    <row r="31" spans="1:18" x14ac:dyDescent="0.25">
      <c r="B31" s="80"/>
      <c r="C31" s="81"/>
      <c r="D31" s="124"/>
      <c r="E31" s="124"/>
      <c r="F31" s="81"/>
      <c r="G31" s="81"/>
      <c r="H31" s="124"/>
      <c r="I31" s="124"/>
      <c r="J31" s="81"/>
      <c r="K31" s="122"/>
      <c r="R31" s="177"/>
    </row>
    <row r="32" spans="1:18" x14ac:dyDescent="0.25">
      <c r="B32" s="125" t="s">
        <v>180</v>
      </c>
      <c r="C32" s="167">
        <f>MEDIAN(C21:C30)</f>
        <v>0.70500000000000007</v>
      </c>
      <c r="D32" s="121">
        <f>MEDIAN(D21:D30)</f>
        <v>8833.7999999999993</v>
      </c>
      <c r="E32" s="134">
        <f>MEDIAN(E21:E30)</f>
        <v>0.46114961503825452</v>
      </c>
      <c r="F32" s="120"/>
      <c r="G32" s="120"/>
      <c r="H32" s="121">
        <f>MEDIAN(H21:H30)</f>
        <v>9835.0499999999993</v>
      </c>
      <c r="I32" s="134">
        <f>MEDIAN(I21:I30)</f>
        <v>0.53885038496174553</v>
      </c>
      <c r="J32" s="120"/>
      <c r="K32" s="173">
        <f>MEDIAN(K21:K30)</f>
        <v>0.40483319127734718</v>
      </c>
    </row>
    <row r="33" spans="1:11" x14ac:dyDescent="0.25">
      <c r="B33" s="84" t="s">
        <v>183</v>
      </c>
      <c r="C33" s="87">
        <f>AVERAGE(C21:C30)</f>
        <v>0.95700000000000007</v>
      </c>
      <c r="D33" s="87">
        <f>AVERAGE(D21:D30)</f>
        <v>15648.890000000003</v>
      </c>
      <c r="E33" s="139">
        <f>AVERAGE(E21:E30)</f>
        <v>0.48646180420320828</v>
      </c>
      <c r="F33" s="85"/>
      <c r="G33" s="85"/>
      <c r="H33" s="87">
        <f>AVERAGE(H21:H30)</f>
        <v>11880.6</v>
      </c>
      <c r="I33" s="141">
        <f>AVERAGE(I21:I30)</f>
        <v>0.51353819579679172</v>
      </c>
      <c r="J33" s="85"/>
      <c r="K33" s="88">
        <f>AVERAGE(K21:K30)</f>
        <v>0.50544825896897483</v>
      </c>
    </row>
    <row r="35" spans="1:11" x14ac:dyDescent="0.25">
      <c r="A35" t="s">
        <v>449</v>
      </c>
      <c r="B35" s="143" t="s">
        <v>207</v>
      </c>
      <c r="C35" s="144"/>
      <c r="D35" s="145"/>
      <c r="E35" s="146"/>
      <c r="F35" s="145"/>
      <c r="G35" s="146"/>
      <c r="H35" s="145"/>
      <c r="I35" s="146"/>
      <c r="J35" s="146"/>
      <c r="K35" s="147"/>
    </row>
    <row r="36" spans="1:11" x14ac:dyDescent="0.25">
      <c r="B36" s="148"/>
      <c r="C36" s="162" t="s">
        <v>204</v>
      </c>
      <c r="D36" s="163" t="s">
        <v>198</v>
      </c>
      <c r="E36" s="164" t="s">
        <v>199</v>
      </c>
      <c r="F36" s="163" t="s">
        <v>200</v>
      </c>
      <c r="G36" s="164" t="s">
        <v>201</v>
      </c>
      <c r="H36" s="163" t="s">
        <v>139</v>
      </c>
      <c r="I36" s="165" t="s">
        <v>202</v>
      </c>
      <c r="J36" s="163" t="s">
        <v>208</v>
      </c>
      <c r="K36" s="166" t="s">
        <v>197</v>
      </c>
    </row>
    <row r="37" spans="1:11" x14ac:dyDescent="0.25">
      <c r="B37" s="150" t="s">
        <v>209</v>
      </c>
      <c r="C37" s="151">
        <f>K19</f>
        <v>0.51043605402149728</v>
      </c>
      <c r="D37" s="160">
        <f>D19</f>
        <v>7414</v>
      </c>
      <c r="E37" s="152">
        <f>E19</f>
        <v>0.72126235504708536</v>
      </c>
      <c r="F37" s="161">
        <f t="shared" ref="F37:J37" si="3">F19</f>
        <v>0</v>
      </c>
      <c r="G37" s="152">
        <f t="shared" si="3"/>
        <v>0</v>
      </c>
      <c r="H37" s="161">
        <f t="shared" si="3"/>
        <v>2865.2</v>
      </c>
      <c r="I37" s="152">
        <f t="shared" si="3"/>
        <v>0.27873764495291464</v>
      </c>
      <c r="J37" s="152">
        <f t="shared" si="3"/>
        <v>0.26593</v>
      </c>
      <c r="K37" s="153">
        <f>C19</f>
        <v>1.48</v>
      </c>
    </row>
    <row r="38" spans="1:11" x14ac:dyDescent="0.25">
      <c r="B38" s="150" t="s">
        <v>210</v>
      </c>
      <c r="C38" s="151">
        <f>K32</f>
        <v>0.40483319127734718</v>
      </c>
      <c r="D38" s="160">
        <f>D32</f>
        <v>8833.7999999999993</v>
      </c>
      <c r="E38" s="152">
        <f>E32</f>
        <v>0.46114961503825452</v>
      </c>
      <c r="F38" s="160">
        <f t="shared" ref="F38:G38" si="4">F34</f>
        <v>0</v>
      </c>
      <c r="G38" s="152">
        <f t="shared" si="4"/>
        <v>0</v>
      </c>
      <c r="H38" s="160">
        <f>H32</f>
        <v>9835.0499999999993</v>
      </c>
      <c r="I38" s="152">
        <f>I32</f>
        <v>0.53885038496174553</v>
      </c>
      <c r="J38" s="152">
        <f>J37</f>
        <v>0.26593</v>
      </c>
      <c r="K38" s="153">
        <f>(C38*(1+(D38/H38)*(1-J38)))</f>
        <v>0.67175531895222795</v>
      </c>
    </row>
    <row r="39" spans="1:11" x14ac:dyDescent="0.25">
      <c r="B39" s="150"/>
      <c r="C39" s="154"/>
      <c r="D39" s="154"/>
      <c r="E39" s="154"/>
      <c r="F39" s="154"/>
      <c r="G39" s="154"/>
      <c r="H39" s="154"/>
      <c r="I39" s="154"/>
      <c r="J39" s="154"/>
      <c r="K39" s="155"/>
    </row>
    <row r="40" spans="1:11" x14ac:dyDescent="0.25">
      <c r="B40" s="148" t="s">
        <v>211</v>
      </c>
      <c r="C40" s="149"/>
      <c r="D40" s="149"/>
      <c r="E40" s="149"/>
      <c r="F40" s="149"/>
      <c r="G40" s="149"/>
      <c r="H40" s="149"/>
      <c r="I40" s="149"/>
      <c r="J40" s="149"/>
      <c r="K40" s="156">
        <f>$C$9+$C$10*K37</f>
        <v>0.17329259599999999</v>
      </c>
    </row>
    <row r="41" spans="1:11" x14ac:dyDescent="0.25">
      <c r="B41" s="148" t="s">
        <v>212</v>
      </c>
      <c r="C41" s="149"/>
      <c r="D41" s="149"/>
      <c r="E41" s="149"/>
      <c r="F41" s="149"/>
      <c r="G41" s="149"/>
      <c r="H41" s="149"/>
      <c r="I41" s="149"/>
      <c r="J41" s="149"/>
      <c r="K41" s="156">
        <f>$C$9+$C$10*K38</f>
        <v>9.2308337921779643E-2</v>
      </c>
    </row>
    <row r="42" spans="1:11" x14ac:dyDescent="0.25">
      <c r="B42" s="150"/>
      <c r="C42" s="154"/>
      <c r="D42" s="154"/>
      <c r="E42" s="154"/>
      <c r="F42" s="154"/>
      <c r="G42" s="154"/>
      <c r="H42" s="154"/>
      <c r="I42" s="154"/>
      <c r="J42" s="154"/>
      <c r="K42" s="155"/>
    </row>
    <row r="43" spans="1:11" x14ac:dyDescent="0.25">
      <c r="B43" s="150" t="s">
        <v>213</v>
      </c>
      <c r="C43" s="154"/>
      <c r="D43" s="154"/>
      <c r="E43" s="154"/>
      <c r="F43" s="154"/>
      <c r="G43" s="154"/>
      <c r="H43" s="154"/>
      <c r="I43" s="154"/>
      <c r="J43" s="154"/>
      <c r="K43" s="157">
        <f>K40*$I$37+(1-$J$19)*$E$37*$C$11</f>
        <v>8.479917449077555E-2</v>
      </c>
    </row>
    <row r="44" spans="1:11" x14ac:dyDescent="0.25">
      <c r="B44" s="158" t="s">
        <v>214</v>
      </c>
      <c r="C44" s="159"/>
      <c r="D44" s="159"/>
      <c r="E44" s="159"/>
      <c r="F44" s="159"/>
      <c r="G44" s="159"/>
      <c r="H44" s="159"/>
      <c r="I44" s="159"/>
      <c r="J44" s="159"/>
      <c r="K44" s="174">
        <f>K41*I38+(1-$J$19)*E38*$C$11</f>
        <v>7.3074636569442061E-2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F020-345A-4619-9294-C0F907A1622D}">
  <sheetPr>
    <tabColor theme="5" tint="0.39997558519241921"/>
  </sheetPr>
  <dimension ref="B2:O27"/>
  <sheetViews>
    <sheetView showGridLines="0" workbookViewId="0"/>
  </sheetViews>
  <sheetFormatPr defaultColWidth="8.875" defaultRowHeight="15.75" x14ac:dyDescent="0.25"/>
  <cols>
    <col min="2" max="2" width="3.125" customWidth="1"/>
    <col min="3" max="3" width="35.125" customWidth="1"/>
    <col min="4" max="15" width="15" customWidth="1"/>
  </cols>
  <sheetData>
    <row r="2" spans="2:15" x14ac:dyDescent="0.25">
      <c r="B2" s="33" t="s">
        <v>153</v>
      </c>
      <c r="C2" s="32"/>
      <c r="D2" s="32"/>
      <c r="E2" s="32"/>
      <c r="F2" s="32"/>
      <c r="G2" s="32"/>
      <c r="H2" s="32"/>
      <c r="I2" s="35"/>
      <c r="J2" s="32"/>
      <c r="K2" s="32"/>
      <c r="L2" s="32"/>
      <c r="M2" s="32"/>
      <c r="N2" s="32"/>
      <c r="O2" s="32"/>
    </row>
    <row r="3" spans="2:15" ht="16.5" thickBot="1" x14ac:dyDescent="0.3">
      <c r="B3" s="34"/>
      <c r="C3" s="34" t="s">
        <v>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 ht="16.5" thickBot="1" x14ac:dyDescent="0.3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 x14ac:dyDescent="0.25">
      <c r="B5" s="205" t="s">
        <v>2</v>
      </c>
      <c r="C5" s="206"/>
      <c r="D5" s="207"/>
      <c r="E5" s="51"/>
      <c r="F5" s="203" t="s">
        <v>154</v>
      </c>
      <c r="G5" s="51"/>
      <c r="H5" s="51" t="s">
        <v>155</v>
      </c>
      <c r="I5" s="51"/>
      <c r="J5" s="51"/>
      <c r="K5" s="51"/>
      <c r="L5" s="51"/>
      <c r="M5" s="51"/>
      <c r="N5" s="51"/>
      <c r="O5" s="52"/>
    </row>
    <row r="6" spans="2:15" x14ac:dyDescent="0.25">
      <c r="B6" s="72" t="s">
        <v>156</v>
      </c>
      <c r="C6" s="50"/>
      <c r="D6" s="50"/>
      <c r="E6" s="49" t="s">
        <v>157</v>
      </c>
      <c r="F6" s="49" t="s">
        <v>158</v>
      </c>
      <c r="G6" s="49" t="s">
        <v>159</v>
      </c>
      <c r="H6" s="49" t="s">
        <v>160</v>
      </c>
      <c r="I6" s="49" t="s">
        <v>161</v>
      </c>
      <c r="J6" s="49" t="s">
        <v>119</v>
      </c>
      <c r="K6" s="49" t="s">
        <v>122</v>
      </c>
      <c r="L6" s="49" t="s">
        <v>162</v>
      </c>
      <c r="M6" s="49" t="s">
        <v>163</v>
      </c>
      <c r="N6" s="49" t="s">
        <v>164</v>
      </c>
      <c r="O6" s="54" t="s">
        <v>165</v>
      </c>
    </row>
    <row r="7" spans="2:15" x14ac:dyDescent="0.25">
      <c r="B7" s="204" t="s">
        <v>166</v>
      </c>
      <c r="C7" s="208"/>
      <c r="D7" s="208"/>
      <c r="E7" s="210">
        <v>28.31</v>
      </c>
      <c r="F7" s="210">
        <v>101.14400000000001</v>
      </c>
      <c r="G7" s="210">
        <v>2864.2925</v>
      </c>
      <c r="H7" s="210">
        <v>10495.174999999999</v>
      </c>
      <c r="I7" s="210">
        <v>4336</v>
      </c>
      <c r="J7" s="210">
        <v>430</v>
      </c>
      <c r="K7" s="210">
        <v>1530</v>
      </c>
      <c r="L7" s="210">
        <v>92</v>
      </c>
      <c r="M7" s="211">
        <v>24.407382999999999</v>
      </c>
      <c r="N7" s="211">
        <v>6.859591</v>
      </c>
      <c r="O7" s="212">
        <v>2.420474</v>
      </c>
    </row>
    <row r="8" spans="2:15" x14ac:dyDescent="0.25">
      <c r="B8" s="100"/>
      <c r="C8" s="35"/>
      <c r="D8" s="35"/>
      <c r="E8" s="55"/>
      <c r="F8" s="55"/>
      <c r="G8" s="55"/>
      <c r="H8" s="55"/>
      <c r="I8" s="55"/>
      <c r="J8" s="55"/>
      <c r="K8" s="55"/>
      <c r="L8" s="55"/>
      <c r="M8" s="35"/>
      <c r="N8" s="35"/>
      <c r="O8" s="99"/>
    </row>
    <row r="9" spans="2:15" x14ac:dyDescent="0.25">
      <c r="B9" s="100" t="s">
        <v>167</v>
      </c>
      <c r="C9" s="35"/>
      <c r="D9" s="35"/>
      <c r="E9" s="55">
        <v>2.7360159999999998</v>
      </c>
      <c r="F9" s="55">
        <v>4201.3249999999998</v>
      </c>
      <c r="G9" s="55">
        <v>11480.075000000001</v>
      </c>
      <c r="H9" s="55">
        <v>20291.081999999999</v>
      </c>
      <c r="I9" s="55">
        <v>6154.7479999999996</v>
      </c>
      <c r="J9" s="55">
        <v>1185.2840000000001</v>
      </c>
      <c r="K9" s="55">
        <v>2884.3035</v>
      </c>
      <c r="L9" s="55">
        <v>684.98015999999996</v>
      </c>
      <c r="M9" s="213">
        <v>17.069582</v>
      </c>
      <c r="N9" s="213">
        <v>7.0146249999999997</v>
      </c>
      <c r="O9" s="214">
        <v>3.2872680000000001</v>
      </c>
    </row>
    <row r="10" spans="2:15" x14ac:dyDescent="0.25">
      <c r="B10" s="100" t="s">
        <v>168</v>
      </c>
      <c r="C10" s="35"/>
      <c r="D10" s="35"/>
      <c r="E10" s="55">
        <v>11.845599</v>
      </c>
      <c r="F10" s="55">
        <v>690.75194999999997</v>
      </c>
      <c r="G10" s="55">
        <v>8171.6030000000001</v>
      </c>
      <c r="H10" s="55">
        <v>13293.022999999999</v>
      </c>
      <c r="I10" s="55">
        <v>2923.6345000000001</v>
      </c>
      <c r="J10" s="55">
        <v>551.87459999999999</v>
      </c>
      <c r="K10" s="55">
        <v>1104.0662</v>
      </c>
      <c r="L10" s="55">
        <v>274.93304000000001</v>
      </c>
      <c r="M10" s="213">
        <v>23.833874000000002</v>
      </c>
      <c r="N10" s="213">
        <v>11.913513999999999</v>
      </c>
      <c r="O10" s="214">
        <v>4.4989569999999999</v>
      </c>
    </row>
    <row r="11" spans="2:15" x14ac:dyDescent="0.25">
      <c r="B11" s="100" t="s">
        <v>169</v>
      </c>
      <c r="C11" s="35"/>
      <c r="D11" s="35"/>
      <c r="E11" s="55">
        <v>11.100272</v>
      </c>
      <c r="F11" s="55">
        <v>226.76322999999999</v>
      </c>
      <c r="G11" s="55">
        <v>2510.2246</v>
      </c>
      <c r="H11" s="55">
        <v>6509.6875</v>
      </c>
      <c r="I11" s="55">
        <v>4628.0933000000005</v>
      </c>
      <c r="J11" s="55">
        <v>644.68740000000003</v>
      </c>
      <c r="K11" s="55">
        <v>900.99530000000004</v>
      </c>
      <c r="L11" s="55">
        <v>462.24970000000002</v>
      </c>
      <c r="M11" s="213">
        <v>10.068187999999999</v>
      </c>
      <c r="N11" s="213">
        <v>7.2040699999999998</v>
      </c>
      <c r="O11" s="214">
        <v>1.402485</v>
      </c>
    </row>
    <row r="12" spans="2:15" x14ac:dyDescent="0.25">
      <c r="B12" s="100" t="s">
        <v>170</v>
      </c>
      <c r="C12" s="35"/>
      <c r="D12" s="35"/>
      <c r="E12" s="55">
        <v>3.8169770000000001</v>
      </c>
      <c r="F12" s="55">
        <v>4172.3559999999998</v>
      </c>
      <c r="G12" s="55">
        <v>15610.023999999999</v>
      </c>
      <c r="H12" s="55">
        <v>29321.748</v>
      </c>
      <c r="I12" s="55">
        <v>9086.7430000000004</v>
      </c>
      <c r="J12" s="55">
        <v>1267.3767</v>
      </c>
      <c r="K12" s="55">
        <v>3302.2617</v>
      </c>
      <c r="L12" s="55">
        <v>785.79485999999997</v>
      </c>
      <c r="M12" s="213">
        <v>22.892603000000001</v>
      </c>
      <c r="N12" s="213">
        <v>8.7859639999999999</v>
      </c>
      <c r="O12" s="214">
        <v>3.1929539999999998</v>
      </c>
    </row>
    <row r="13" spans="2:15" x14ac:dyDescent="0.25">
      <c r="B13" s="100" t="s">
        <v>171</v>
      </c>
      <c r="C13" s="35"/>
      <c r="D13" s="35"/>
      <c r="E13" s="55">
        <v>196.02086</v>
      </c>
      <c r="F13" s="55">
        <v>58.563267000000003</v>
      </c>
      <c r="G13" s="55">
        <v>11469.33</v>
      </c>
      <c r="H13" s="55">
        <v>14808.003000000001</v>
      </c>
      <c r="I13" s="55">
        <v>5967.8334999999997</v>
      </c>
      <c r="J13" s="55">
        <v>489.11126999999999</v>
      </c>
      <c r="K13" s="55">
        <v>2401.9072000000001</v>
      </c>
      <c r="L13" s="55">
        <v>1923.9884</v>
      </c>
      <c r="M13" s="213">
        <v>30.187612999999999</v>
      </c>
      <c r="N13" s="213">
        <v>6.1472449999999998</v>
      </c>
      <c r="O13" s="214">
        <v>2.474116</v>
      </c>
    </row>
    <row r="14" spans="2:15" x14ac:dyDescent="0.25">
      <c r="B14" s="100" t="s">
        <v>172</v>
      </c>
      <c r="C14" s="35"/>
      <c r="D14" s="35"/>
      <c r="E14" s="55">
        <v>21.152533999999999</v>
      </c>
      <c r="F14" s="55">
        <v>176.27</v>
      </c>
      <c r="G14" s="55">
        <v>3728.4513999999999</v>
      </c>
      <c r="H14" s="55">
        <v>4545.0709999999999</v>
      </c>
      <c r="I14" s="55">
        <v>4113.0663999999997</v>
      </c>
      <c r="J14" s="55">
        <v>557.04449999999997</v>
      </c>
      <c r="K14" s="55">
        <v>730.54369999999994</v>
      </c>
      <c r="L14" s="55">
        <v>418.17367999999999</v>
      </c>
      <c r="M14" s="213">
        <v>8.1356249999999992</v>
      </c>
      <c r="N14" s="213">
        <v>6.2034690000000001</v>
      </c>
      <c r="O14" s="214">
        <v>1.101831</v>
      </c>
    </row>
    <row r="15" spans="2:15" x14ac:dyDescent="0.25">
      <c r="B15" s="100" t="s">
        <v>173</v>
      </c>
      <c r="C15" s="35"/>
      <c r="D15" s="35"/>
      <c r="E15" s="55">
        <v>9.77</v>
      </c>
      <c r="F15" s="55">
        <v>190.94095999999999</v>
      </c>
      <c r="G15" s="55">
        <v>2124.8364000000001</v>
      </c>
      <c r="H15" s="55">
        <v>11588.424000000001</v>
      </c>
      <c r="I15" s="55">
        <v>3867</v>
      </c>
      <c r="J15" s="55">
        <v>610.79999999999995</v>
      </c>
      <c r="K15" s="55">
        <v>1481.8</v>
      </c>
      <c r="L15" s="55">
        <v>-80.099999999999994</v>
      </c>
      <c r="M15" s="213">
        <v>18.966640000000002</v>
      </c>
      <c r="N15" s="213">
        <v>7.8180750000000003</v>
      </c>
      <c r="O15" s="214">
        <v>2.9967480000000002</v>
      </c>
    </row>
    <row r="16" spans="2:15" x14ac:dyDescent="0.25">
      <c r="B16" s="100" t="s">
        <v>174</v>
      </c>
      <c r="C16" s="35"/>
      <c r="D16" s="35"/>
      <c r="E16" s="55">
        <v>0.80949199999999999</v>
      </c>
      <c r="F16" s="55">
        <v>3586.6781999999998</v>
      </c>
      <c r="G16" s="55">
        <v>3042.1923999999999</v>
      </c>
      <c r="H16" s="55">
        <v>4689.7309999999998</v>
      </c>
      <c r="I16" s="55">
        <v>3422</v>
      </c>
      <c r="J16" s="55">
        <v>911</v>
      </c>
      <c r="K16" s="55">
        <v>1543</v>
      </c>
      <c r="L16" s="55">
        <v>370</v>
      </c>
      <c r="M16" s="213">
        <v>5.2722480000000003</v>
      </c>
      <c r="N16" s="213">
        <v>3.1127790000000002</v>
      </c>
      <c r="O16" s="214">
        <v>1.4035709999999999</v>
      </c>
    </row>
    <row r="17" spans="2:15" x14ac:dyDescent="0.25">
      <c r="B17" s="100" t="s">
        <v>175</v>
      </c>
      <c r="C17" s="35"/>
      <c r="D17" s="35"/>
      <c r="E17" s="55">
        <v>3.280421</v>
      </c>
      <c r="F17" s="55">
        <v>5123.9040000000005</v>
      </c>
      <c r="G17" s="55">
        <v>17225.088</v>
      </c>
      <c r="H17" s="55">
        <v>112479.61</v>
      </c>
      <c r="I17" s="55">
        <v>54196.258000000002</v>
      </c>
      <c r="J17" s="55">
        <v>5970.0703000000003</v>
      </c>
      <c r="K17" s="55">
        <v>17813.958999999999</v>
      </c>
      <c r="L17" s="55">
        <v>962.55382999999995</v>
      </c>
      <c r="M17" s="213">
        <v>18.786004999999999</v>
      </c>
      <c r="N17" s="213">
        <v>6.2958369999999997</v>
      </c>
      <c r="O17" s="214">
        <v>2.069401</v>
      </c>
    </row>
    <row r="18" spans="2:15" ht="16.5" thickBot="1" x14ac:dyDescent="0.3">
      <c r="B18" s="209" t="s">
        <v>176</v>
      </c>
      <c r="C18" s="34"/>
      <c r="D18" s="34"/>
      <c r="E18" s="201">
        <v>0.60233400000000004</v>
      </c>
      <c r="F18" s="201">
        <v>66016</v>
      </c>
      <c r="G18" s="201">
        <v>39993.016000000003</v>
      </c>
      <c r="H18" s="201">
        <v>91253.233999999997</v>
      </c>
      <c r="I18" s="201">
        <v>52321.934000000001</v>
      </c>
      <c r="J18" s="201">
        <v>8320.1110000000008</v>
      </c>
      <c r="K18" s="201">
        <v>16574.213</v>
      </c>
      <c r="L18" s="201">
        <v>3517.9616999999998</v>
      </c>
      <c r="M18" s="215">
        <v>10.757648</v>
      </c>
      <c r="N18" s="215">
        <v>5.4002470000000002</v>
      </c>
      <c r="O18" s="216">
        <v>1.710656</v>
      </c>
    </row>
    <row r="20" spans="2:15" ht="16.5" thickBot="1" x14ac:dyDescent="0.3"/>
    <row r="21" spans="2:15" ht="16.5" thickBot="1" x14ac:dyDescent="0.3">
      <c r="L21" s="221" t="s">
        <v>177</v>
      </c>
      <c r="M21" s="219" t="s">
        <v>163</v>
      </c>
      <c r="N21" s="219" t="s">
        <v>164</v>
      </c>
      <c r="O21" s="220" t="s">
        <v>165</v>
      </c>
    </row>
    <row r="22" spans="2:15" x14ac:dyDescent="0.25">
      <c r="L22" s="222" t="s">
        <v>178</v>
      </c>
      <c r="M22" s="217">
        <f>MIN(M9:M18)</f>
        <v>5.2722480000000003</v>
      </c>
      <c r="N22" s="217">
        <f t="shared" ref="N22:O22" si="0">MIN(N9:N18)</f>
        <v>3.1127790000000002</v>
      </c>
      <c r="O22" s="218">
        <f t="shared" si="0"/>
        <v>1.101831</v>
      </c>
    </row>
    <row r="23" spans="2:15" x14ac:dyDescent="0.25">
      <c r="L23" s="222" t="s">
        <v>179</v>
      </c>
      <c r="M23" s="217">
        <f>_xlfn.QUARTILE.INC(M9:M18,1)</f>
        <v>10.240552999999998</v>
      </c>
      <c r="N23" s="217">
        <f t="shared" ref="N23:O23" si="1">_xlfn.QUARTILE.INC(N9:N18,1)</f>
        <v>6.1613009999999999</v>
      </c>
      <c r="O23" s="218">
        <f t="shared" si="1"/>
        <v>1.4803422499999999</v>
      </c>
    </row>
    <row r="24" spans="2:15" x14ac:dyDescent="0.25">
      <c r="L24" s="223" t="s">
        <v>180</v>
      </c>
      <c r="M24" s="224">
        <f>MEDIAN(M9:M18)</f>
        <v>17.9277935</v>
      </c>
      <c r="N24" s="224">
        <f t="shared" ref="N24:O24" si="2">MEDIAN(N9:N18)</f>
        <v>6.6552309999999997</v>
      </c>
      <c r="O24" s="225">
        <f t="shared" si="2"/>
        <v>2.2717584999999998</v>
      </c>
    </row>
    <row r="25" spans="2:15" x14ac:dyDescent="0.25">
      <c r="L25" s="222" t="s">
        <v>181</v>
      </c>
      <c r="M25" s="217">
        <f>_xlfn.QUARTILE.INC(M11:M20,3)</f>
        <v>19.948130750000001</v>
      </c>
      <c r="N25" s="217">
        <f t="shared" ref="N25:O25" si="3">_xlfn.QUARTILE.INC(N11:N20,3)</f>
        <v>7.3575712499999995</v>
      </c>
      <c r="O25" s="218">
        <f t="shared" si="3"/>
        <v>2.6047739999999999</v>
      </c>
    </row>
    <row r="26" spans="2:15" x14ac:dyDescent="0.25">
      <c r="L26" s="222" t="s">
        <v>182</v>
      </c>
      <c r="M26" s="217">
        <f>MAX(M9:M18)</f>
        <v>30.187612999999999</v>
      </c>
      <c r="N26" s="217">
        <f t="shared" ref="N26:O26" si="4">MAX(N9:N18)</f>
        <v>11.913513999999999</v>
      </c>
      <c r="O26" s="218">
        <f t="shared" si="4"/>
        <v>4.4989569999999999</v>
      </c>
    </row>
    <row r="27" spans="2:15" ht="16.5" thickBot="1" x14ac:dyDescent="0.3">
      <c r="L27" s="226" t="s">
        <v>183</v>
      </c>
      <c r="M27" s="227">
        <f>AVERAGE(M9:M18)</f>
        <v>16.5970026</v>
      </c>
      <c r="N27" s="227">
        <f t="shared" ref="N27:O27" si="5">AVERAGE(N9:N18)</f>
        <v>6.9895825</v>
      </c>
      <c r="O27" s="228">
        <f t="shared" si="5"/>
        <v>2.4137987000000001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678E-C64F-4270-8FC4-2297FD62CD6B}">
  <sheetPr>
    <tabColor theme="7"/>
    <outlinePr summaryBelow="0" summaryRight="0"/>
    <pageSetUpPr autoPageBreaks="0"/>
  </sheetPr>
  <dimension ref="A5:IU113"/>
  <sheetViews>
    <sheetView showGridLines="0" workbookViewId="0"/>
  </sheetViews>
  <sheetFormatPr defaultColWidth="9" defaultRowHeight="11.25" x14ac:dyDescent="0.2"/>
  <cols>
    <col min="1" max="1" width="40.125" style="1" customWidth="1"/>
    <col min="2" max="7" width="13" style="1" customWidth="1"/>
    <col min="8" max="16384" width="9" style="1"/>
  </cols>
  <sheetData>
    <row r="5" spans="1:255" ht="15.75" x14ac:dyDescent="0.2">
      <c r="A5" s="26" t="s">
        <v>215</v>
      </c>
    </row>
    <row r="7" spans="1:255" x14ac:dyDescent="0.2">
      <c r="A7" s="25" t="s">
        <v>216</v>
      </c>
      <c r="B7" s="23" t="s">
        <v>217</v>
      </c>
      <c r="C7" s="1" t="s">
        <v>218</v>
      </c>
      <c r="D7" s="4" t="s">
        <v>219</v>
      </c>
      <c r="E7" s="23" t="s">
        <v>220</v>
      </c>
      <c r="F7" s="1" t="s">
        <v>221</v>
      </c>
    </row>
    <row r="8" spans="1:255" x14ac:dyDescent="0.2">
      <c r="A8" s="4"/>
      <c r="B8" s="23" t="s">
        <v>222</v>
      </c>
      <c r="C8" s="1" t="s">
        <v>223</v>
      </c>
      <c r="D8" s="4" t="s">
        <v>219</v>
      </c>
      <c r="E8" s="23" t="s">
        <v>224</v>
      </c>
      <c r="F8" s="1" t="s">
        <v>225</v>
      </c>
    </row>
    <row r="9" spans="1:255" x14ac:dyDescent="0.2">
      <c r="A9" s="4"/>
      <c r="B9" s="23" t="s">
        <v>226</v>
      </c>
      <c r="C9" s="1" t="s">
        <v>227</v>
      </c>
      <c r="D9" s="4" t="s">
        <v>219</v>
      </c>
      <c r="E9" s="23" t="s">
        <v>228</v>
      </c>
      <c r="F9" s="1" t="s">
        <v>229</v>
      </c>
    </row>
    <row r="10" spans="1:255" x14ac:dyDescent="0.2">
      <c r="A10" s="4"/>
      <c r="B10" s="23" t="s">
        <v>230</v>
      </c>
      <c r="C10" s="1" t="s">
        <v>231</v>
      </c>
      <c r="D10" s="4" t="s">
        <v>219</v>
      </c>
      <c r="E10" s="23" t="s">
        <v>232</v>
      </c>
      <c r="F10" s="24" t="s">
        <v>233</v>
      </c>
    </row>
    <row r="11" spans="1:255" x14ac:dyDescent="0.2">
      <c r="A11" s="4"/>
      <c r="B11" s="23" t="s">
        <v>234</v>
      </c>
      <c r="C11" s="1" t="s">
        <v>235</v>
      </c>
      <c r="D11" s="4" t="s">
        <v>219</v>
      </c>
      <c r="E11" s="22"/>
      <c r="F11" s="22"/>
    </row>
    <row r="14" spans="1:255" x14ac:dyDescent="0.2">
      <c r="A14" s="21" t="s">
        <v>54</v>
      </c>
      <c r="B14" s="21"/>
      <c r="C14" s="21"/>
      <c r="D14" s="21"/>
      <c r="E14" s="21"/>
      <c r="F14" s="21"/>
      <c r="G14" s="21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</row>
    <row r="15" spans="1:255" ht="33.75" x14ac:dyDescent="0.2">
      <c r="A15" s="19" t="s">
        <v>236</v>
      </c>
      <c r="B15" s="18" t="s">
        <v>237</v>
      </c>
      <c r="C15" s="18" t="s">
        <v>238</v>
      </c>
      <c r="D15" s="18" t="s">
        <v>239</v>
      </c>
      <c r="E15" s="18" t="s">
        <v>240</v>
      </c>
      <c r="F15" s="18" t="s">
        <v>241</v>
      </c>
      <c r="G15" s="18" t="s">
        <v>242</v>
      </c>
    </row>
    <row r="16" spans="1:255" x14ac:dyDescent="0.2">
      <c r="A16" s="17" t="s">
        <v>243</v>
      </c>
      <c r="B16" s="16" t="s">
        <v>244</v>
      </c>
      <c r="C16" s="16" t="s">
        <v>244</v>
      </c>
      <c r="D16" s="16" t="s">
        <v>244</v>
      </c>
      <c r="E16" s="16" t="s">
        <v>244</v>
      </c>
      <c r="F16" s="16" t="s">
        <v>244</v>
      </c>
      <c r="G16" s="16" t="s">
        <v>244</v>
      </c>
    </row>
    <row r="17" spans="1:7" x14ac:dyDescent="0.2">
      <c r="A17" s="6" t="s">
        <v>245</v>
      </c>
      <c r="B17" s="4"/>
      <c r="C17" s="4"/>
      <c r="D17" s="4"/>
      <c r="E17" s="4"/>
      <c r="F17" s="4"/>
      <c r="G17" s="4"/>
    </row>
    <row r="18" spans="1:7" x14ac:dyDescent="0.2">
      <c r="A18" s="4" t="s">
        <v>118</v>
      </c>
      <c r="B18" s="7">
        <v>6572</v>
      </c>
      <c r="C18" s="7">
        <v>4043</v>
      </c>
      <c r="D18" s="7">
        <v>3936</v>
      </c>
      <c r="E18" s="7">
        <v>3946</v>
      </c>
      <c r="F18" s="7">
        <v>4336</v>
      </c>
      <c r="G18" s="7">
        <v>4304</v>
      </c>
    </row>
    <row r="19" spans="1:7" x14ac:dyDescent="0.2">
      <c r="A19" s="4" t="s">
        <v>246</v>
      </c>
      <c r="B19" s="7" t="s">
        <v>247</v>
      </c>
      <c r="C19" s="7" t="s">
        <v>247</v>
      </c>
      <c r="D19" s="7" t="s">
        <v>247</v>
      </c>
      <c r="E19" s="7" t="s">
        <v>247</v>
      </c>
      <c r="F19" s="7" t="s">
        <v>247</v>
      </c>
      <c r="G19" s="7" t="s">
        <v>247</v>
      </c>
    </row>
    <row r="20" spans="1:7" x14ac:dyDescent="0.2">
      <c r="A20" s="6" t="s">
        <v>248</v>
      </c>
      <c r="B20" s="15">
        <v>6572</v>
      </c>
      <c r="C20" s="15">
        <v>4043</v>
      </c>
      <c r="D20" s="15">
        <v>3936</v>
      </c>
      <c r="E20" s="15">
        <v>3946</v>
      </c>
      <c r="F20" s="15">
        <v>4336</v>
      </c>
      <c r="G20" s="15">
        <v>4304</v>
      </c>
    </row>
    <row r="21" spans="1:7" x14ac:dyDescent="0.2">
      <c r="A21" s="4"/>
      <c r="B21" s="4"/>
      <c r="C21" s="4"/>
      <c r="D21" s="4"/>
      <c r="E21" s="4"/>
      <c r="F21" s="4"/>
      <c r="G21" s="4"/>
    </row>
    <row r="22" spans="1:7" x14ac:dyDescent="0.2">
      <c r="A22" s="4" t="s">
        <v>249</v>
      </c>
      <c r="B22" s="7">
        <v>1793</v>
      </c>
      <c r="C22" s="7">
        <v>1175</v>
      </c>
      <c r="D22" s="7">
        <v>1169</v>
      </c>
      <c r="E22" s="7">
        <v>1117</v>
      </c>
      <c r="F22" s="7">
        <v>1201</v>
      </c>
      <c r="G22" s="7">
        <v>1213</v>
      </c>
    </row>
    <row r="23" spans="1:7" x14ac:dyDescent="0.2">
      <c r="A23" s="6" t="s">
        <v>250</v>
      </c>
      <c r="B23" s="15">
        <v>4779</v>
      </c>
      <c r="C23" s="15">
        <v>2868</v>
      </c>
      <c r="D23" s="15">
        <v>2767</v>
      </c>
      <c r="E23" s="15">
        <v>2829</v>
      </c>
      <c r="F23" s="15">
        <v>3135</v>
      </c>
      <c r="G23" s="15">
        <v>3091</v>
      </c>
    </row>
    <row r="24" spans="1:7" x14ac:dyDescent="0.2">
      <c r="A24" s="4"/>
      <c r="B24" s="4"/>
      <c r="C24" s="4"/>
      <c r="D24" s="4"/>
      <c r="E24" s="4"/>
      <c r="F24" s="4"/>
      <c r="G24" s="4"/>
    </row>
    <row r="25" spans="1:7" x14ac:dyDescent="0.2">
      <c r="A25" s="4" t="s">
        <v>251</v>
      </c>
      <c r="B25" s="7">
        <v>2590</v>
      </c>
      <c r="C25" s="7">
        <v>1627</v>
      </c>
      <c r="D25" s="7">
        <v>1531</v>
      </c>
      <c r="E25" s="7">
        <v>1566</v>
      </c>
      <c r="F25" s="7">
        <v>1588</v>
      </c>
      <c r="G25" s="7">
        <v>1537</v>
      </c>
    </row>
    <row r="26" spans="1:7" x14ac:dyDescent="0.2">
      <c r="A26" s="4" t="s">
        <v>252</v>
      </c>
      <c r="B26" s="7" t="s">
        <v>247</v>
      </c>
      <c r="C26" s="7" t="s">
        <v>247</v>
      </c>
      <c r="D26" s="7" t="s">
        <v>247</v>
      </c>
      <c r="E26" s="7" t="s">
        <v>247</v>
      </c>
      <c r="F26" s="7" t="s">
        <v>247</v>
      </c>
      <c r="G26" s="7" t="s">
        <v>247</v>
      </c>
    </row>
    <row r="27" spans="1:7" x14ac:dyDescent="0.2">
      <c r="A27" s="4" t="s">
        <v>253</v>
      </c>
      <c r="B27" s="7">
        <v>1035</v>
      </c>
      <c r="C27" s="7">
        <v>678</v>
      </c>
      <c r="D27" s="7">
        <v>670</v>
      </c>
      <c r="E27" s="7">
        <v>662</v>
      </c>
      <c r="F27" s="7">
        <v>825</v>
      </c>
      <c r="G27" s="7">
        <v>859</v>
      </c>
    </row>
    <row r="28" spans="1:7" x14ac:dyDescent="0.2">
      <c r="A28" s="4" t="s">
        <v>254</v>
      </c>
      <c r="B28" s="7">
        <v>246</v>
      </c>
      <c r="C28" s="7">
        <v>175</v>
      </c>
      <c r="D28" s="7">
        <v>142</v>
      </c>
      <c r="E28" s="7">
        <v>140</v>
      </c>
      <c r="F28" s="7">
        <v>275</v>
      </c>
      <c r="G28" s="7">
        <v>310</v>
      </c>
    </row>
    <row r="29" spans="1:7" x14ac:dyDescent="0.2">
      <c r="A29" s="4" t="s">
        <v>255</v>
      </c>
      <c r="B29" s="7">
        <v>10</v>
      </c>
      <c r="C29" s="7" t="s">
        <v>247</v>
      </c>
      <c r="D29" s="7">
        <v>-17</v>
      </c>
      <c r="E29" s="7">
        <v>-13</v>
      </c>
      <c r="F29" s="7">
        <v>-1</v>
      </c>
      <c r="G29" s="7">
        <v>4</v>
      </c>
    </row>
    <row r="30" spans="1:7" x14ac:dyDescent="0.2">
      <c r="A30" s="4"/>
      <c r="B30" s="4"/>
      <c r="C30" s="4"/>
      <c r="D30" s="4"/>
      <c r="E30" s="4"/>
      <c r="F30" s="4"/>
      <c r="G30" s="4"/>
    </row>
    <row r="31" spans="1:7" x14ac:dyDescent="0.2">
      <c r="A31" s="6" t="s">
        <v>256</v>
      </c>
      <c r="B31" s="15">
        <v>3881</v>
      </c>
      <c r="C31" s="15">
        <v>2480</v>
      </c>
      <c r="D31" s="15">
        <v>2326</v>
      </c>
      <c r="E31" s="15">
        <v>2355</v>
      </c>
      <c r="F31" s="15">
        <v>2687</v>
      </c>
      <c r="G31" s="15">
        <v>2710</v>
      </c>
    </row>
    <row r="32" spans="1:7" x14ac:dyDescent="0.2">
      <c r="A32" s="4"/>
      <c r="B32" s="4"/>
      <c r="C32" s="4"/>
      <c r="D32" s="4"/>
      <c r="E32" s="4"/>
      <c r="F32" s="4"/>
      <c r="G32" s="4"/>
    </row>
    <row r="33" spans="1:7" x14ac:dyDescent="0.2">
      <c r="A33" s="6" t="s">
        <v>257</v>
      </c>
      <c r="B33" s="5">
        <v>898</v>
      </c>
      <c r="C33" s="5">
        <v>388</v>
      </c>
      <c r="D33" s="5">
        <v>441</v>
      </c>
      <c r="E33" s="5">
        <v>474</v>
      </c>
      <c r="F33" s="5">
        <v>448</v>
      </c>
      <c r="G33" s="5">
        <v>381</v>
      </c>
    </row>
    <row r="34" spans="1:7" x14ac:dyDescent="0.2">
      <c r="A34" s="4"/>
      <c r="B34" s="4"/>
      <c r="C34" s="4"/>
      <c r="D34" s="4"/>
      <c r="E34" s="4"/>
      <c r="F34" s="4"/>
      <c r="G34" s="4"/>
    </row>
    <row r="35" spans="1:7" x14ac:dyDescent="0.2">
      <c r="A35" s="4" t="s">
        <v>258</v>
      </c>
      <c r="B35" s="7">
        <v>-425</v>
      </c>
      <c r="C35" s="7">
        <v>-310</v>
      </c>
      <c r="D35" s="7">
        <v>-311</v>
      </c>
      <c r="E35" s="7">
        <v>-325</v>
      </c>
      <c r="F35" s="7">
        <v>-505</v>
      </c>
      <c r="G35" s="7">
        <v>-534</v>
      </c>
    </row>
    <row r="36" spans="1:7" x14ac:dyDescent="0.2">
      <c r="A36" s="4" t="s">
        <v>259</v>
      </c>
      <c r="B36" s="7">
        <v>22</v>
      </c>
      <c r="C36" s="7">
        <v>21</v>
      </c>
      <c r="D36" s="7">
        <v>16</v>
      </c>
      <c r="E36" s="7">
        <v>21</v>
      </c>
      <c r="F36" s="7">
        <v>20</v>
      </c>
      <c r="G36" s="7">
        <v>19</v>
      </c>
    </row>
    <row r="37" spans="1:7" x14ac:dyDescent="0.2">
      <c r="A37" s="6" t="s">
        <v>260</v>
      </c>
      <c r="B37" s="15">
        <v>-403</v>
      </c>
      <c r="C37" s="15">
        <v>-289</v>
      </c>
      <c r="D37" s="15">
        <v>-295</v>
      </c>
      <c r="E37" s="15">
        <v>-304</v>
      </c>
      <c r="F37" s="15">
        <v>-485</v>
      </c>
      <c r="G37" s="15">
        <v>-515</v>
      </c>
    </row>
    <row r="38" spans="1:7" x14ac:dyDescent="0.2">
      <c r="A38" s="4"/>
      <c r="B38" s="4"/>
      <c r="C38" s="4"/>
      <c r="D38" s="4"/>
      <c r="E38" s="4"/>
      <c r="F38" s="4"/>
      <c r="G38" s="4"/>
    </row>
    <row r="39" spans="1:7" x14ac:dyDescent="0.2">
      <c r="A39" s="4" t="s">
        <v>261</v>
      </c>
      <c r="B39" s="7">
        <v>100</v>
      </c>
      <c r="C39" s="7">
        <v>66</v>
      </c>
      <c r="D39" s="7">
        <v>55</v>
      </c>
      <c r="E39" s="7">
        <v>18</v>
      </c>
      <c r="F39" s="7">
        <v>139</v>
      </c>
      <c r="G39" s="7">
        <v>142</v>
      </c>
    </row>
    <row r="40" spans="1:7" x14ac:dyDescent="0.2">
      <c r="A40" s="4" t="s">
        <v>262</v>
      </c>
      <c r="B40" s="7">
        <v>-304</v>
      </c>
      <c r="C40" s="7">
        <v>25</v>
      </c>
      <c r="D40" s="7">
        <v>21</v>
      </c>
      <c r="E40" s="7">
        <v>-40</v>
      </c>
      <c r="F40" s="7">
        <v>-32</v>
      </c>
      <c r="G40" s="7">
        <v>-111</v>
      </c>
    </row>
    <row r="41" spans="1:7" x14ac:dyDescent="0.2">
      <c r="A41" s="4" t="s">
        <v>263</v>
      </c>
      <c r="B41" s="7">
        <v>71</v>
      </c>
      <c r="C41" s="7">
        <v>-42</v>
      </c>
      <c r="D41" s="7">
        <v>-59</v>
      </c>
      <c r="E41" s="7">
        <v>-37</v>
      </c>
      <c r="F41" s="7">
        <v>-66</v>
      </c>
      <c r="G41" s="7">
        <v>-75</v>
      </c>
    </row>
    <row r="42" spans="1:7" x14ac:dyDescent="0.2">
      <c r="A42" s="6" t="s">
        <v>264</v>
      </c>
      <c r="B42" s="15">
        <v>362</v>
      </c>
      <c r="C42" s="15">
        <v>148</v>
      </c>
      <c r="D42" s="15">
        <v>163</v>
      </c>
      <c r="E42" s="15">
        <v>111</v>
      </c>
      <c r="F42" s="15">
        <v>4</v>
      </c>
      <c r="G42" s="15">
        <v>-178</v>
      </c>
    </row>
    <row r="43" spans="1:7" x14ac:dyDescent="0.2">
      <c r="A43" s="4"/>
      <c r="B43" s="4"/>
      <c r="C43" s="4"/>
      <c r="D43" s="4"/>
      <c r="E43" s="4"/>
      <c r="F43" s="4"/>
      <c r="G43" s="4"/>
    </row>
    <row r="44" spans="1:7" x14ac:dyDescent="0.2">
      <c r="A44" s="4" t="s">
        <v>265</v>
      </c>
      <c r="B44" s="7" t="s">
        <v>247</v>
      </c>
      <c r="C44" s="7" t="s">
        <v>247</v>
      </c>
      <c r="D44" s="7" t="s">
        <v>247</v>
      </c>
      <c r="E44" s="7">
        <v>-11</v>
      </c>
      <c r="F44" s="7">
        <v>-16</v>
      </c>
      <c r="G44" s="7">
        <v>0</v>
      </c>
    </row>
    <row r="45" spans="1:7" x14ac:dyDescent="0.2">
      <c r="A45" s="4" t="s">
        <v>266</v>
      </c>
      <c r="B45" s="7" t="s">
        <v>247</v>
      </c>
      <c r="C45" s="7" t="s">
        <v>247</v>
      </c>
      <c r="D45" s="7" t="s">
        <v>247</v>
      </c>
      <c r="E45" s="7">
        <v>-6</v>
      </c>
      <c r="F45" s="7" t="s">
        <v>247</v>
      </c>
      <c r="G45" s="7" t="s">
        <v>247</v>
      </c>
    </row>
    <row r="46" spans="1:7" x14ac:dyDescent="0.2">
      <c r="A46" s="4" t="s">
        <v>267</v>
      </c>
      <c r="B46" s="7" t="s">
        <v>247</v>
      </c>
      <c r="C46" s="7" t="s">
        <v>247</v>
      </c>
      <c r="D46" s="7" t="s">
        <v>247</v>
      </c>
      <c r="E46" s="7" t="s">
        <v>247</v>
      </c>
      <c r="F46" s="7">
        <v>242</v>
      </c>
      <c r="G46" s="7">
        <v>142</v>
      </c>
    </row>
    <row r="47" spans="1:7" x14ac:dyDescent="0.2">
      <c r="A47" s="4" t="s">
        <v>268</v>
      </c>
      <c r="B47" s="7">
        <v>-391</v>
      </c>
      <c r="C47" s="7">
        <v>-8</v>
      </c>
      <c r="D47" s="7">
        <v>64</v>
      </c>
      <c r="E47" s="7">
        <v>68</v>
      </c>
      <c r="F47" s="7">
        <v>5</v>
      </c>
      <c r="G47" s="7">
        <v>5</v>
      </c>
    </row>
    <row r="48" spans="1:7" x14ac:dyDescent="0.2">
      <c r="A48" s="4" t="s">
        <v>269</v>
      </c>
      <c r="B48" s="7">
        <v>-54</v>
      </c>
      <c r="C48" s="7">
        <v>-6</v>
      </c>
      <c r="D48" s="7">
        <v>-12</v>
      </c>
      <c r="E48" s="7">
        <v>0</v>
      </c>
      <c r="F48" s="7">
        <v>-8</v>
      </c>
      <c r="G48" s="7">
        <v>-8</v>
      </c>
    </row>
    <row r="49" spans="1:7" x14ac:dyDescent="0.2">
      <c r="A49" s="4" t="s">
        <v>270</v>
      </c>
      <c r="B49" s="7" t="s">
        <v>247</v>
      </c>
      <c r="C49" s="7">
        <v>-25</v>
      </c>
      <c r="D49" s="7">
        <v>-43</v>
      </c>
      <c r="E49" s="7">
        <v>-43</v>
      </c>
      <c r="F49" s="7">
        <v>-10</v>
      </c>
      <c r="G49" s="7">
        <v>0</v>
      </c>
    </row>
    <row r="50" spans="1:7" x14ac:dyDescent="0.2">
      <c r="A50" s="6" t="s">
        <v>271</v>
      </c>
      <c r="B50" s="15">
        <v>-83</v>
      </c>
      <c r="C50" s="15">
        <v>109</v>
      </c>
      <c r="D50" s="15">
        <v>172</v>
      </c>
      <c r="E50" s="15">
        <v>119</v>
      </c>
      <c r="F50" s="15">
        <v>217</v>
      </c>
      <c r="G50" s="15">
        <v>-39</v>
      </c>
    </row>
    <row r="51" spans="1:7" x14ac:dyDescent="0.2">
      <c r="A51" s="4"/>
      <c r="B51" s="4"/>
      <c r="C51" s="4"/>
      <c r="D51" s="4"/>
      <c r="E51" s="4"/>
      <c r="F51" s="4"/>
      <c r="G51" s="4"/>
    </row>
    <row r="52" spans="1:7" x14ac:dyDescent="0.2">
      <c r="A52" s="4" t="s">
        <v>272</v>
      </c>
      <c r="B52" s="7">
        <v>278</v>
      </c>
      <c r="C52" s="7">
        <v>179</v>
      </c>
      <c r="D52" s="7">
        <v>162</v>
      </c>
      <c r="E52" s="7">
        <v>112</v>
      </c>
      <c r="F52" s="7">
        <v>120</v>
      </c>
      <c r="G52" s="7">
        <v>128</v>
      </c>
    </row>
    <row r="53" spans="1:7" x14ac:dyDescent="0.2">
      <c r="A53" s="6" t="s">
        <v>273</v>
      </c>
      <c r="B53" s="15">
        <v>-361</v>
      </c>
      <c r="C53" s="15">
        <v>-70</v>
      </c>
      <c r="D53" s="15">
        <v>10</v>
      </c>
      <c r="E53" s="15">
        <v>7</v>
      </c>
      <c r="F53" s="15">
        <v>97</v>
      </c>
      <c r="G53" s="15">
        <v>-167</v>
      </c>
    </row>
    <row r="54" spans="1:7" x14ac:dyDescent="0.2">
      <c r="A54" s="4"/>
      <c r="B54" s="4"/>
      <c r="C54" s="4"/>
      <c r="D54" s="4"/>
      <c r="E54" s="4"/>
      <c r="F54" s="4"/>
      <c r="G54" s="4"/>
    </row>
    <row r="55" spans="1:7" x14ac:dyDescent="0.2">
      <c r="A55" s="4" t="s">
        <v>274</v>
      </c>
      <c r="B55" s="7">
        <v>-83</v>
      </c>
      <c r="C55" s="7">
        <v>-20</v>
      </c>
      <c r="D55" s="7">
        <v>60</v>
      </c>
      <c r="E55" s="7">
        <v>-33</v>
      </c>
      <c r="F55" s="7">
        <v>57</v>
      </c>
      <c r="G55" s="7">
        <v>-8</v>
      </c>
    </row>
    <row r="56" spans="1:7" x14ac:dyDescent="0.2">
      <c r="A56" s="4" t="s">
        <v>275</v>
      </c>
      <c r="B56" s="7" t="s">
        <v>247</v>
      </c>
      <c r="C56" s="7" t="s">
        <v>247</v>
      </c>
      <c r="D56" s="7" t="s">
        <v>247</v>
      </c>
      <c r="E56" s="7" t="s">
        <v>247</v>
      </c>
      <c r="F56" s="7" t="s">
        <v>247</v>
      </c>
      <c r="G56" s="7" t="s">
        <v>247</v>
      </c>
    </row>
    <row r="57" spans="1:7" x14ac:dyDescent="0.2">
      <c r="A57" s="6" t="s">
        <v>276</v>
      </c>
      <c r="B57" s="15">
        <v>-444</v>
      </c>
      <c r="C57" s="15">
        <v>-90</v>
      </c>
      <c r="D57" s="15">
        <v>70</v>
      </c>
      <c r="E57" s="15">
        <v>-26</v>
      </c>
      <c r="F57" s="15">
        <v>154</v>
      </c>
      <c r="G57" s="15">
        <v>-175</v>
      </c>
    </row>
    <row r="58" spans="1:7" x14ac:dyDescent="0.2">
      <c r="A58" s="4"/>
      <c r="B58" s="4"/>
      <c r="C58" s="4"/>
      <c r="D58" s="4"/>
      <c r="E58" s="4"/>
      <c r="F58" s="4"/>
      <c r="G58" s="4"/>
    </row>
    <row r="59" spans="1:7" x14ac:dyDescent="0.2">
      <c r="A59" s="4" t="s">
        <v>277</v>
      </c>
      <c r="B59" s="7">
        <v>-115</v>
      </c>
      <c r="C59" s="7">
        <v>58</v>
      </c>
      <c r="D59" s="7">
        <v>17</v>
      </c>
      <c r="E59" s="7">
        <v>16</v>
      </c>
      <c r="F59" s="7">
        <v>-5</v>
      </c>
      <c r="G59" s="7">
        <v>28</v>
      </c>
    </row>
    <row r="60" spans="1:7" x14ac:dyDescent="0.2">
      <c r="A60" s="6" t="s">
        <v>278</v>
      </c>
      <c r="B60" s="14">
        <v>-559</v>
      </c>
      <c r="C60" s="14">
        <v>-32</v>
      </c>
      <c r="D60" s="14">
        <v>87</v>
      </c>
      <c r="E60" s="14">
        <v>-10</v>
      </c>
      <c r="F60" s="14">
        <v>149</v>
      </c>
      <c r="G60" s="14">
        <v>-147</v>
      </c>
    </row>
    <row r="61" spans="1:7" x14ac:dyDescent="0.2">
      <c r="A61" s="4"/>
      <c r="B61" s="4"/>
      <c r="C61" s="4"/>
      <c r="D61" s="4"/>
      <c r="E61" s="4"/>
      <c r="F61" s="4"/>
      <c r="G61" s="4"/>
    </row>
    <row r="62" spans="1:7" x14ac:dyDescent="0.2">
      <c r="A62" s="4" t="s">
        <v>279</v>
      </c>
      <c r="B62" s="7" t="s">
        <v>247</v>
      </c>
      <c r="C62" s="7" t="s">
        <v>247</v>
      </c>
      <c r="D62" s="7" t="s">
        <v>247</v>
      </c>
      <c r="E62" s="7" t="s">
        <v>247</v>
      </c>
      <c r="F62" s="7" t="s">
        <v>247</v>
      </c>
      <c r="G62" s="7" t="s">
        <v>247</v>
      </c>
    </row>
    <row r="63" spans="1:7" x14ac:dyDescent="0.2">
      <c r="A63" s="4"/>
      <c r="B63" s="4"/>
      <c r="C63" s="4"/>
      <c r="D63" s="4"/>
      <c r="E63" s="4"/>
      <c r="F63" s="4"/>
      <c r="G63" s="4"/>
    </row>
    <row r="64" spans="1:7" x14ac:dyDescent="0.2">
      <c r="A64" s="6" t="s">
        <v>280</v>
      </c>
      <c r="B64" s="5">
        <v>-559</v>
      </c>
      <c r="C64" s="5">
        <v>-32</v>
      </c>
      <c r="D64" s="5">
        <v>87</v>
      </c>
      <c r="E64" s="5">
        <v>-10</v>
      </c>
      <c r="F64" s="5">
        <v>149</v>
      </c>
      <c r="G64" s="5">
        <v>-147</v>
      </c>
    </row>
    <row r="65" spans="1:7" x14ac:dyDescent="0.2">
      <c r="A65" s="6" t="s">
        <v>281</v>
      </c>
      <c r="B65" s="5">
        <v>-476</v>
      </c>
      <c r="C65" s="5">
        <v>-12</v>
      </c>
      <c r="D65" s="5">
        <v>27</v>
      </c>
      <c r="E65" s="5">
        <v>23</v>
      </c>
      <c r="F65" s="5">
        <v>92</v>
      </c>
      <c r="G65" s="5">
        <v>-139</v>
      </c>
    </row>
    <row r="66" spans="1:7" x14ac:dyDescent="0.2">
      <c r="A66" s="4"/>
      <c r="B66" s="4"/>
      <c r="C66" s="4"/>
      <c r="D66" s="4"/>
      <c r="E66" s="4"/>
      <c r="F66" s="4"/>
      <c r="G66" s="4"/>
    </row>
    <row r="67" spans="1:7" x14ac:dyDescent="0.2">
      <c r="A67" s="6" t="s">
        <v>282</v>
      </c>
      <c r="B67" s="4"/>
      <c r="C67" s="4"/>
      <c r="D67" s="4"/>
      <c r="E67" s="4"/>
      <c r="F67" s="4"/>
      <c r="G67" s="4"/>
    </row>
    <row r="68" spans="1:7" x14ac:dyDescent="0.2">
      <c r="A68" s="4" t="s">
        <v>283</v>
      </c>
      <c r="B68" s="12">
        <v>-5.58</v>
      </c>
      <c r="C68" s="12">
        <v>-0.32</v>
      </c>
      <c r="D68" s="12">
        <v>0.87</v>
      </c>
      <c r="E68" s="12">
        <v>-0.1</v>
      </c>
      <c r="F68" s="12">
        <v>1.47</v>
      </c>
      <c r="G68" s="12">
        <v>-1.45</v>
      </c>
    </row>
    <row r="69" spans="1:7" x14ac:dyDescent="0.2">
      <c r="A69" s="4" t="s">
        <v>284</v>
      </c>
      <c r="B69" s="13">
        <v>-4.75</v>
      </c>
      <c r="C69" s="13">
        <v>-0.12</v>
      </c>
      <c r="D69" s="13">
        <v>0.26896700000000001</v>
      </c>
      <c r="E69" s="13">
        <v>0.22819</v>
      </c>
      <c r="F69" s="13">
        <v>0.90959400000000001</v>
      </c>
      <c r="G69" s="13">
        <v>-1.37</v>
      </c>
    </row>
    <row r="70" spans="1:7" x14ac:dyDescent="0.2">
      <c r="A70" s="4" t="s">
        <v>285</v>
      </c>
      <c r="B70" s="7">
        <v>100.14400000000001</v>
      </c>
      <c r="C70" s="7">
        <v>100.337</v>
      </c>
      <c r="D70" s="7">
        <v>100.384</v>
      </c>
      <c r="E70" s="7">
        <v>100.79300000000001</v>
      </c>
      <c r="F70" s="7">
        <v>101.14400000000001</v>
      </c>
      <c r="G70" s="7">
        <v>101.15949999999999</v>
      </c>
    </row>
    <row r="71" spans="1:7" x14ac:dyDescent="0.2">
      <c r="A71" s="4"/>
      <c r="B71" s="4"/>
      <c r="C71" s="4"/>
      <c r="D71" s="4"/>
      <c r="E71" s="4"/>
      <c r="F71" s="4"/>
      <c r="G71" s="4"/>
    </row>
    <row r="72" spans="1:7" x14ac:dyDescent="0.2">
      <c r="A72" s="4" t="s">
        <v>286</v>
      </c>
      <c r="B72" s="12">
        <v>-5.59</v>
      </c>
      <c r="C72" s="12">
        <v>-0.32</v>
      </c>
      <c r="D72" s="12">
        <v>0.87</v>
      </c>
      <c r="E72" s="12">
        <v>-0.1</v>
      </c>
      <c r="F72" s="12">
        <v>1.47</v>
      </c>
      <c r="G72" s="12">
        <v>-1.45</v>
      </c>
    </row>
    <row r="73" spans="1:7" x14ac:dyDescent="0.2">
      <c r="A73" s="4" t="s">
        <v>287</v>
      </c>
      <c r="B73" s="13">
        <v>-4.76</v>
      </c>
      <c r="C73" s="13">
        <v>-0.12</v>
      </c>
      <c r="D73" s="13">
        <v>0.26896700000000001</v>
      </c>
      <c r="E73" s="13">
        <v>0.22819</v>
      </c>
      <c r="F73" s="13">
        <v>0.90959400000000001</v>
      </c>
      <c r="G73" s="13">
        <v>-1.37</v>
      </c>
    </row>
    <row r="74" spans="1:7" x14ac:dyDescent="0.2">
      <c r="A74" s="4" t="s">
        <v>288</v>
      </c>
      <c r="B74" s="7">
        <v>100.154</v>
      </c>
      <c r="C74" s="7">
        <v>100.337</v>
      </c>
      <c r="D74" s="7">
        <v>100.384</v>
      </c>
      <c r="E74" s="7">
        <v>100.79300000000001</v>
      </c>
      <c r="F74" s="7">
        <v>101.14400000000001</v>
      </c>
      <c r="G74" s="7">
        <v>101.15949999999999</v>
      </c>
    </row>
    <row r="75" spans="1:7" x14ac:dyDescent="0.2">
      <c r="A75" s="4"/>
      <c r="B75" s="4"/>
      <c r="C75" s="4"/>
      <c r="D75" s="4"/>
      <c r="E75" s="4"/>
      <c r="F75" s="4"/>
      <c r="G75" s="4"/>
    </row>
    <row r="76" spans="1:7" x14ac:dyDescent="0.2">
      <c r="A76" s="4" t="s">
        <v>289</v>
      </c>
      <c r="B76" s="12">
        <v>1.1100000000000001</v>
      </c>
      <c r="C76" s="12">
        <v>1.5</v>
      </c>
      <c r="D76" s="12">
        <v>1.18</v>
      </c>
      <c r="E76" s="12">
        <v>0.85</v>
      </c>
      <c r="F76" s="12">
        <v>-0.02</v>
      </c>
      <c r="G76" s="12">
        <v>-0.82</v>
      </c>
    </row>
    <row r="77" spans="1:7" x14ac:dyDescent="0.2">
      <c r="A77" s="4" t="s">
        <v>290</v>
      </c>
      <c r="B77" s="13">
        <v>1.110789</v>
      </c>
      <c r="C77" s="13">
        <v>1.4999450000000001</v>
      </c>
      <c r="D77" s="13">
        <v>1.184202</v>
      </c>
      <c r="E77" s="13">
        <v>0.84703300000000004</v>
      </c>
      <c r="F77" s="13">
        <v>-0.02</v>
      </c>
      <c r="G77" s="13">
        <v>-0.82</v>
      </c>
    </row>
    <row r="78" spans="1:7" x14ac:dyDescent="0.2">
      <c r="A78" s="4"/>
      <c r="B78" s="4"/>
      <c r="C78" s="4"/>
      <c r="D78" s="4"/>
      <c r="E78" s="4"/>
      <c r="F78" s="4"/>
      <c r="G78" s="4"/>
    </row>
    <row r="79" spans="1:7" x14ac:dyDescent="0.2">
      <c r="A79" s="4" t="s">
        <v>291</v>
      </c>
      <c r="B79" s="12">
        <v>2.64</v>
      </c>
      <c r="C79" s="12">
        <v>2.64</v>
      </c>
      <c r="D79" s="12">
        <v>2.64</v>
      </c>
      <c r="E79" s="12">
        <v>2.64</v>
      </c>
      <c r="F79" s="12">
        <v>1</v>
      </c>
      <c r="G79" s="12">
        <v>1</v>
      </c>
    </row>
    <row r="80" spans="1:7" x14ac:dyDescent="0.2">
      <c r="A80" s="4" t="s">
        <v>292</v>
      </c>
      <c r="B80" s="10" t="s">
        <v>293</v>
      </c>
      <c r="C80" s="10" t="s">
        <v>293</v>
      </c>
      <c r="D80" s="10">
        <v>3.0459770000000002</v>
      </c>
      <c r="E80" s="10" t="s">
        <v>293</v>
      </c>
      <c r="F80" s="10">
        <v>1.798657</v>
      </c>
      <c r="G80" s="10" t="s">
        <v>293</v>
      </c>
    </row>
    <row r="81" spans="1:7" x14ac:dyDescent="0.2">
      <c r="A81" s="4"/>
      <c r="B81" s="4"/>
      <c r="C81" s="4"/>
      <c r="D81" s="4"/>
      <c r="E81" s="4"/>
      <c r="F81" s="4"/>
      <c r="G81" s="4"/>
    </row>
    <row r="82" spans="1:7" x14ac:dyDescent="0.2">
      <c r="A82" s="4" t="s">
        <v>294</v>
      </c>
      <c r="B82" s="11">
        <v>1</v>
      </c>
      <c r="C82" s="11">
        <v>1</v>
      </c>
      <c r="D82" s="11">
        <v>1</v>
      </c>
      <c r="E82" s="11">
        <v>1</v>
      </c>
      <c r="F82" s="11">
        <v>1</v>
      </c>
      <c r="G82" s="11">
        <v>1</v>
      </c>
    </row>
    <row r="83" spans="1:7" x14ac:dyDescent="0.2">
      <c r="A83" s="4"/>
      <c r="B83" s="4"/>
      <c r="C83" s="4"/>
      <c r="D83" s="4"/>
      <c r="E83" s="4"/>
      <c r="F83" s="4"/>
      <c r="G83" s="4"/>
    </row>
    <row r="84" spans="1:7" x14ac:dyDescent="0.2">
      <c r="A84" s="6" t="s">
        <v>295</v>
      </c>
      <c r="B84" s="4"/>
      <c r="C84" s="4"/>
      <c r="D84" s="4"/>
      <c r="E84" s="4"/>
      <c r="F84" s="4"/>
      <c r="G84" s="4"/>
    </row>
    <row r="85" spans="1:7" x14ac:dyDescent="0.2">
      <c r="A85" s="4" t="s">
        <v>122</v>
      </c>
      <c r="B85" s="7">
        <v>2179</v>
      </c>
      <c r="C85" s="7">
        <v>1241</v>
      </c>
      <c r="D85" s="7">
        <v>1253</v>
      </c>
      <c r="E85" s="7">
        <v>1277</v>
      </c>
      <c r="F85" s="7">
        <v>1548</v>
      </c>
      <c r="G85" s="7">
        <v>1541</v>
      </c>
    </row>
    <row r="86" spans="1:7" x14ac:dyDescent="0.2">
      <c r="A86" s="4" t="s">
        <v>296</v>
      </c>
      <c r="B86" s="7">
        <v>1144</v>
      </c>
      <c r="C86" s="7">
        <v>563</v>
      </c>
      <c r="D86" s="7">
        <v>583</v>
      </c>
      <c r="E86" s="7">
        <v>614</v>
      </c>
      <c r="F86" s="7">
        <v>723</v>
      </c>
      <c r="G86" s="7">
        <v>683</v>
      </c>
    </row>
    <row r="87" spans="1:7" x14ac:dyDescent="0.2">
      <c r="A87" s="4" t="s">
        <v>119</v>
      </c>
      <c r="B87" s="7">
        <v>898</v>
      </c>
      <c r="C87" s="7">
        <v>388</v>
      </c>
      <c r="D87" s="7">
        <v>441</v>
      </c>
      <c r="E87" s="7">
        <v>474</v>
      </c>
      <c r="F87" s="7">
        <v>448</v>
      </c>
      <c r="G87" s="7">
        <v>381</v>
      </c>
    </row>
    <row r="88" spans="1:7" x14ac:dyDescent="0.2">
      <c r="A88" s="4" t="s">
        <v>297</v>
      </c>
      <c r="B88" s="7">
        <v>2370</v>
      </c>
      <c r="C88" s="7">
        <v>1400</v>
      </c>
      <c r="D88" s="7">
        <v>1404</v>
      </c>
      <c r="E88" s="7">
        <v>1429</v>
      </c>
      <c r="F88" s="7">
        <v>1549</v>
      </c>
      <c r="G88" s="7" t="s">
        <v>298</v>
      </c>
    </row>
    <row r="89" spans="1:7" x14ac:dyDescent="0.2">
      <c r="A89" s="4" t="s">
        <v>299</v>
      </c>
      <c r="B89" s="10" t="s">
        <v>293</v>
      </c>
      <c r="C89" s="10">
        <v>1.642201</v>
      </c>
      <c r="D89" s="10">
        <v>0.94186000000000003</v>
      </c>
      <c r="E89" s="10">
        <v>0.94117600000000001</v>
      </c>
      <c r="F89" s="10">
        <v>0.55299500000000001</v>
      </c>
      <c r="G89" s="10" t="s">
        <v>293</v>
      </c>
    </row>
    <row r="90" spans="1:7" x14ac:dyDescent="0.2">
      <c r="A90" s="4" t="s">
        <v>300</v>
      </c>
      <c r="B90" s="7">
        <v>271</v>
      </c>
      <c r="C90" s="7">
        <v>144</v>
      </c>
      <c r="D90" s="7">
        <v>176</v>
      </c>
      <c r="E90" s="7">
        <v>145</v>
      </c>
      <c r="F90" s="7">
        <v>151</v>
      </c>
      <c r="G90" s="7">
        <v>151</v>
      </c>
    </row>
    <row r="91" spans="1:7" x14ac:dyDescent="0.2">
      <c r="A91" s="4" t="s">
        <v>301</v>
      </c>
      <c r="B91" s="7">
        <v>271</v>
      </c>
      <c r="C91" s="7">
        <v>144</v>
      </c>
      <c r="D91" s="7">
        <v>176</v>
      </c>
      <c r="E91" s="7">
        <v>145</v>
      </c>
      <c r="F91" s="7">
        <v>151</v>
      </c>
      <c r="G91" s="7">
        <v>151</v>
      </c>
    </row>
    <row r="92" spans="1:7" x14ac:dyDescent="0.2">
      <c r="A92" s="4" t="s">
        <v>302</v>
      </c>
      <c r="B92" s="7">
        <v>7</v>
      </c>
      <c r="C92" s="7">
        <v>35</v>
      </c>
      <c r="D92" s="7">
        <v>-14</v>
      </c>
      <c r="E92" s="7">
        <v>-33</v>
      </c>
      <c r="F92" s="7">
        <v>-31</v>
      </c>
      <c r="G92" s="7">
        <v>-31</v>
      </c>
    </row>
    <row r="93" spans="1:7" x14ac:dyDescent="0.2">
      <c r="A93" s="4" t="s">
        <v>303</v>
      </c>
      <c r="B93" s="7">
        <v>7</v>
      </c>
      <c r="C93" s="7">
        <v>35</v>
      </c>
      <c r="D93" s="7">
        <v>-14</v>
      </c>
      <c r="E93" s="7">
        <v>-33</v>
      </c>
      <c r="F93" s="7">
        <v>-31</v>
      </c>
      <c r="G93" s="7">
        <v>-31</v>
      </c>
    </row>
    <row r="94" spans="1:7" x14ac:dyDescent="0.2">
      <c r="A94" s="4"/>
      <c r="B94" s="4"/>
      <c r="C94" s="4"/>
      <c r="D94" s="4"/>
      <c r="E94" s="4"/>
      <c r="F94" s="4"/>
      <c r="G94" s="4"/>
    </row>
    <row r="95" spans="1:7" x14ac:dyDescent="0.2">
      <c r="A95" s="4" t="s">
        <v>304</v>
      </c>
      <c r="B95" s="7">
        <v>111.25</v>
      </c>
      <c r="C95" s="7">
        <v>150.5</v>
      </c>
      <c r="D95" s="7">
        <v>118.875</v>
      </c>
      <c r="E95" s="7">
        <v>85.375</v>
      </c>
      <c r="F95" s="7">
        <v>-2.5</v>
      </c>
      <c r="G95" s="7">
        <v>-83.3</v>
      </c>
    </row>
    <row r="96" spans="1:7" x14ac:dyDescent="0.2">
      <c r="A96" s="4" t="s">
        <v>305</v>
      </c>
      <c r="B96" s="7">
        <v>67</v>
      </c>
      <c r="C96" s="7">
        <v>356</v>
      </c>
      <c r="D96" s="7">
        <v>65</v>
      </c>
      <c r="E96" s="7">
        <v>91</v>
      </c>
      <c r="F96" s="7">
        <v>157</v>
      </c>
      <c r="G96" s="7" t="s">
        <v>298</v>
      </c>
    </row>
    <row r="97" spans="1:7" x14ac:dyDescent="0.2">
      <c r="A97" s="4" t="s">
        <v>306</v>
      </c>
      <c r="B97" s="9">
        <v>42780</v>
      </c>
      <c r="C97" s="9">
        <v>43524</v>
      </c>
      <c r="D97" s="9">
        <v>43889</v>
      </c>
      <c r="E97" s="9">
        <v>43889</v>
      </c>
      <c r="F97" s="9">
        <v>43889</v>
      </c>
      <c r="G97" s="9">
        <v>44042</v>
      </c>
    </row>
    <row r="98" spans="1:7" x14ac:dyDescent="0.2">
      <c r="A98" s="4" t="s">
        <v>307</v>
      </c>
      <c r="B98" s="8" t="s">
        <v>308</v>
      </c>
      <c r="C98" s="8" t="s">
        <v>308</v>
      </c>
      <c r="D98" s="8" t="s">
        <v>309</v>
      </c>
      <c r="E98" s="8" t="s">
        <v>308</v>
      </c>
      <c r="F98" s="8" t="s">
        <v>310</v>
      </c>
      <c r="G98" s="8" t="s">
        <v>310</v>
      </c>
    </row>
    <row r="99" spans="1:7" x14ac:dyDescent="0.2">
      <c r="A99" s="4" t="s">
        <v>311</v>
      </c>
      <c r="B99" s="8" t="s">
        <v>312</v>
      </c>
      <c r="C99" s="8" t="s">
        <v>312</v>
      </c>
      <c r="D99" s="8" t="s">
        <v>312</v>
      </c>
      <c r="E99" s="8" t="s">
        <v>312</v>
      </c>
      <c r="F99" s="8" t="s">
        <v>312</v>
      </c>
      <c r="G99" s="8" t="s">
        <v>313</v>
      </c>
    </row>
    <row r="100" spans="1:7" x14ac:dyDescent="0.2">
      <c r="A100" s="4"/>
      <c r="B100" s="4"/>
      <c r="C100" s="4"/>
      <c r="D100" s="4"/>
      <c r="E100" s="4"/>
      <c r="F100" s="4"/>
      <c r="G100" s="4"/>
    </row>
    <row r="101" spans="1:7" x14ac:dyDescent="0.2">
      <c r="A101" s="6" t="s">
        <v>314</v>
      </c>
      <c r="B101" s="4"/>
      <c r="C101" s="4"/>
      <c r="D101" s="4"/>
      <c r="E101" s="4"/>
      <c r="F101" s="4"/>
      <c r="G101" s="4"/>
    </row>
    <row r="102" spans="1:7" x14ac:dyDescent="0.2">
      <c r="A102" s="4" t="s">
        <v>315</v>
      </c>
      <c r="B102" s="7">
        <v>802</v>
      </c>
      <c r="C102" s="7">
        <v>442</v>
      </c>
      <c r="D102" s="7">
        <v>448</v>
      </c>
      <c r="E102" s="7">
        <v>391</v>
      </c>
      <c r="F102" s="7">
        <v>402</v>
      </c>
      <c r="G102" s="7" t="s">
        <v>298</v>
      </c>
    </row>
    <row r="103" spans="1:7" x14ac:dyDescent="0.2">
      <c r="A103" s="4" t="s">
        <v>316</v>
      </c>
      <c r="B103" s="7">
        <v>802</v>
      </c>
      <c r="C103" s="7">
        <v>442</v>
      </c>
      <c r="D103" s="7">
        <v>448</v>
      </c>
      <c r="E103" s="7">
        <v>391</v>
      </c>
      <c r="F103" s="7">
        <v>402</v>
      </c>
      <c r="G103" s="7">
        <v>402</v>
      </c>
    </row>
    <row r="104" spans="1:7" x14ac:dyDescent="0.2">
      <c r="A104" s="4" t="s">
        <v>317</v>
      </c>
      <c r="B104" s="7">
        <v>191</v>
      </c>
      <c r="C104" s="7">
        <v>159</v>
      </c>
      <c r="D104" s="7">
        <v>151</v>
      </c>
      <c r="E104" s="7">
        <v>152</v>
      </c>
      <c r="F104" s="7">
        <v>1</v>
      </c>
      <c r="G104" s="7" t="s">
        <v>298</v>
      </c>
    </row>
    <row r="105" spans="1:7" x14ac:dyDescent="0.2">
      <c r="A105" s="4" t="s">
        <v>318</v>
      </c>
      <c r="B105" s="7">
        <v>143.65644800000001</v>
      </c>
      <c r="C105" s="7">
        <v>97.846056000000004</v>
      </c>
      <c r="D105" s="7">
        <v>96.009423999999996</v>
      </c>
      <c r="E105" s="7">
        <v>92.368576000000004</v>
      </c>
      <c r="F105" s="7">
        <v>0.66611200000000004</v>
      </c>
      <c r="G105" s="7" t="s">
        <v>247</v>
      </c>
    </row>
    <row r="106" spans="1:7" x14ac:dyDescent="0.2">
      <c r="A106" s="4" t="s">
        <v>319</v>
      </c>
      <c r="B106" s="7">
        <v>47.343552000000003</v>
      </c>
      <c r="C106" s="7">
        <v>61.153944000000003</v>
      </c>
      <c r="D106" s="7">
        <v>54.990575999999997</v>
      </c>
      <c r="E106" s="7">
        <v>59.631424000000003</v>
      </c>
      <c r="F106" s="7">
        <v>0.33388800000000002</v>
      </c>
      <c r="G106" s="7" t="s">
        <v>247</v>
      </c>
    </row>
    <row r="107" spans="1:7" x14ac:dyDescent="0.2">
      <c r="A107" s="4"/>
      <c r="B107" s="4"/>
      <c r="C107" s="4"/>
      <c r="D107" s="4"/>
      <c r="E107" s="4"/>
      <c r="F107" s="4"/>
      <c r="G107" s="4"/>
    </row>
    <row r="108" spans="1:7" x14ac:dyDescent="0.2">
      <c r="A108" s="4" t="s">
        <v>320</v>
      </c>
      <c r="B108" s="7">
        <v>19</v>
      </c>
      <c r="C108" s="7">
        <v>14</v>
      </c>
      <c r="D108" s="7">
        <v>22</v>
      </c>
      <c r="E108" s="7">
        <v>22</v>
      </c>
      <c r="F108" s="7">
        <v>30</v>
      </c>
      <c r="G108" s="7">
        <v>30</v>
      </c>
    </row>
    <row r="109" spans="1:7" x14ac:dyDescent="0.2">
      <c r="A109" s="6" t="s">
        <v>321</v>
      </c>
      <c r="B109" s="5">
        <v>19</v>
      </c>
      <c r="C109" s="5">
        <v>14</v>
      </c>
      <c r="D109" s="5">
        <v>22</v>
      </c>
      <c r="E109" s="5">
        <v>22</v>
      </c>
      <c r="F109" s="5">
        <v>30</v>
      </c>
      <c r="G109" s="5">
        <v>30</v>
      </c>
    </row>
    <row r="110" spans="1:7" x14ac:dyDescent="0.2">
      <c r="A110" s="4"/>
      <c r="B110" s="4"/>
      <c r="C110" s="4"/>
      <c r="D110" s="4"/>
      <c r="E110" s="4"/>
      <c r="F110" s="4"/>
      <c r="G110" s="4"/>
    </row>
    <row r="111" spans="1:7" x14ac:dyDescent="0.2">
      <c r="A111" s="3"/>
      <c r="B111" s="3"/>
      <c r="C111" s="3"/>
      <c r="D111" s="3"/>
      <c r="E111" s="3"/>
      <c r="F111" s="3"/>
      <c r="G111" s="3"/>
    </row>
    <row r="112" spans="1:7" x14ac:dyDescent="0.2">
      <c r="A112" s="1" t="s">
        <v>322</v>
      </c>
    </row>
    <row r="113" spans="1:1" x14ac:dyDescent="0.2">
      <c r="A113" s="2" t="s">
        <v>323</v>
      </c>
    </row>
  </sheetData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5C570E003854CBEEC25A66AB76005" ma:contentTypeVersion="2" ma:contentTypeDescription="Create a new document." ma:contentTypeScope="" ma:versionID="441f994b410c7f5e478bb97ed4a2c654">
  <xsd:schema xmlns:xsd="http://www.w3.org/2001/XMLSchema" xmlns:xs="http://www.w3.org/2001/XMLSchema" xmlns:p="http://schemas.microsoft.com/office/2006/metadata/properties" xmlns:ns3="b615fd6d-9524-471b-a8c8-ed7f678e89ff" targetNamespace="http://schemas.microsoft.com/office/2006/metadata/properties" ma:root="true" ma:fieldsID="533c9107cdebdd28505bfeac377034a8" ns3:_="">
    <xsd:import namespace="b615fd6d-9524-471b-a8c8-ed7f678e89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15fd6d-9524-471b-a8c8-ed7f678e89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E2E1AC-5223-4F6D-B52C-C4CD77E61E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15fd6d-9524-471b-a8c8-ed7f678e8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55ACCF-9191-48EB-833B-5063027D9C91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b615fd6d-9524-471b-a8c8-ed7f678e89ff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3B4E739-9B44-4B8F-BCC0-34BD1643A3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Summary</vt:lpstr>
      <vt:lpstr>Revenue Build</vt:lpstr>
      <vt:lpstr>Assumptions</vt:lpstr>
      <vt:lpstr>Income Statement</vt:lpstr>
      <vt:lpstr>Balance Sheet</vt:lpstr>
      <vt:lpstr>DCF</vt:lpstr>
      <vt:lpstr>WACC</vt:lpstr>
      <vt:lpstr>Comps</vt:lpstr>
      <vt:lpstr>S&amp;P - IS</vt:lpstr>
      <vt:lpstr>S&amp;P - BS</vt:lpstr>
      <vt:lpstr>S&amp;P - CFS</vt:lpstr>
      <vt:lpstr>Stock Price</vt:lpstr>
      <vt:lpstr>'S&amp;P - BS'!Print_Titles</vt:lpstr>
      <vt:lpstr>'S&amp;P - CFS'!Print_Titles</vt:lpstr>
      <vt:lpstr>'S&amp;P - IS'!Print_Titles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Anshul Rana</dc:creator>
  <cp:keywords/>
  <dc:description/>
  <cp:lastModifiedBy>Anshul Rana</cp:lastModifiedBy>
  <cp:revision/>
  <dcterms:created xsi:type="dcterms:W3CDTF">2020-10-25T16:55:09Z</dcterms:created>
  <dcterms:modified xsi:type="dcterms:W3CDTF">2020-11-02T22:59:21Z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0x010100C645C570E003854CBEEC25A66AB76005</vt:lpwstr>
  </property>
</Properties>
</file>