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oplankton" sheetId="1" r:id="rId4"/>
    <sheet state="visible" name="Aquatic_Insects" sheetId="2" r:id="rId5"/>
    <sheet state="visible" name="Prawns" sheetId="3" r:id="rId6"/>
    <sheet state="visible" name="Mollusca" sheetId="4" r:id="rId7"/>
    <sheet state="visible" name="Fishes" sheetId="5" r:id="rId8"/>
    <sheet state="visible" name="Herpetofauna" sheetId="6" r:id="rId9"/>
    <sheet state="visible" name="Aves" sheetId="7" r:id="rId10"/>
    <sheet state="visible" name="Mammals" sheetId="8" r:id="rId11"/>
    <sheet state="visible" name="Algae" sheetId="9" r:id="rId12"/>
    <sheet state="visible" name="Plants" sheetId="10" r:id="rId13"/>
  </sheets>
  <definedNames/>
  <calcPr/>
  <extLst>
    <ext uri="GoogleSheetsCustomDataVersion1">
      <go:sheetsCustomData xmlns:go="http://customooxmlschemas.google.com/" r:id="rId14" roundtripDataSignature="AMtx7miX78sBqgpfnVI5gsND5vIVxWQHzQ=="/>
    </ext>
  </extLst>
</workbook>
</file>

<file path=xl/sharedStrings.xml><?xml version="1.0" encoding="utf-8"?>
<sst xmlns="http://schemas.openxmlformats.org/spreadsheetml/2006/main" count="1417" uniqueCount="587">
  <si>
    <t>SPECIES</t>
  </si>
  <si>
    <t>GENUS</t>
  </si>
  <si>
    <t>FAMILY</t>
  </si>
  <si>
    <t>ORDER</t>
  </si>
  <si>
    <t>CLASS</t>
  </si>
  <si>
    <t>PHYLUM</t>
  </si>
  <si>
    <t>NOTES</t>
  </si>
  <si>
    <t>Arcella discoides</t>
  </si>
  <si>
    <t>Arcella</t>
  </si>
  <si>
    <t>Arcellidae</t>
  </si>
  <si>
    <t>Arcellinida</t>
  </si>
  <si>
    <t>Lobosa</t>
  </si>
  <si>
    <t>Amoebozoa</t>
  </si>
  <si>
    <r>
      <rPr>
        <rFont val="Calibri"/>
        <color theme="1"/>
        <sz val="10.0"/>
      </rPr>
      <t>Arcella discoides</t>
    </r>
    <r>
      <rPr>
        <rFont val="Calibri"/>
        <color theme="1"/>
        <sz val="10.0"/>
      </rPr>
      <t xml:space="preserve"> Ehrenberg, 1843</t>
    </r>
  </si>
  <si>
    <t>Centropyxis aculeata</t>
  </si>
  <si>
    <t>Centropyxis</t>
  </si>
  <si>
    <t>Centropyxidae</t>
  </si>
  <si>
    <t xml:space="preserve">Tubulinea </t>
  </si>
  <si>
    <r>
      <rPr>
        <rFont val="Calibri"/>
        <color theme="1"/>
        <sz val="10.0"/>
      </rPr>
      <t>Centropyxis aculeata</t>
    </r>
    <r>
      <rPr>
        <rFont val="Calibri"/>
        <color theme="1"/>
        <sz val="10.0"/>
      </rPr>
      <t xml:space="preserve"> (Ehrenberg, 1832) Stein, 1857</t>
    </r>
  </si>
  <si>
    <t>Brachionus calyciflorus</t>
  </si>
  <si>
    <t>Brachionus</t>
  </si>
  <si>
    <t>Brachionidae</t>
  </si>
  <si>
    <t>Ploima</t>
  </si>
  <si>
    <t>Eurotatoria</t>
  </si>
  <si>
    <t>Rotifera</t>
  </si>
  <si>
    <r>
      <rPr>
        <rFont val="Calibri"/>
        <color theme="1"/>
        <sz val="10.0"/>
      </rPr>
      <t>Brachionus calyciflorus</t>
    </r>
    <r>
      <rPr>
        <rFont val="Calibri"/>
        <color theme="1"/>
        <sz val="10.0"/>
      </rPr>
      <t xml:space="preserve"> Pallas, 1766</t>
    </r>
  </si>
  <si>
    <t>Brachionus forficula</t>
  </si>
  <si>
    <r>
      <rPr>
        <rFont val="Calibri"/>
        <color theme="1"/>
        <sz val="10.0"/>
      </rPr>
      <t>Brachionus forficula</t>
    </r>
    <r>
      <rPr>
        <rFont val="Calibri"/>
        <color theme="1"/>
        <sz val="10.0"/>
      </rPr>
      <t xml:space="preserve"> Wierzejski, 1891</t>
    </r>
  </si>
  <si>
    <t>Keratella lenzi</t>
  </si>
  <si>
    <t>Keratella</t>
  </si>
  <si>
    <r>
      <rPr>
        <rFont val="Calibri"/>
        <color theme="1"/>
        <sz val="10.0"/>
      </rPr>
      <t>Keratella lenzi</t>
    </r>
    <r>
      <rPr>
        <rFont val="Calibri"/>
        <color theme="1"/>
        <sz val="10.0"/>
      </rPr>
      <t xml:space="preserve"> Hauer, 1937</t>
    </r>
  </si>
  <si>
    <t>Lecane aculeata</t>
  </si>
  <si>
    <t>Lecane</t>
  </si>
  <si>
    <t>Lecanidae</t>
  </si>
  <si>
    <r>
      <rPr>
        <rFont val="Calibri"/>
        <color theme="1"/>
        <sz val="10.0"/>
      </rPr>
      <t>Lecane aculeata</t>
    </r>
    <r>
      <rPr>
        <rFont val="Calibri"/>
        <color theme="1"/>
        <sz val="10.0"/>
      </rPr>
      <t xml:space="preserve"> (Jakubski, 1912)</t>
    </r>
  </si>
  <si>
    <t>Lecane bulla</t>
  </si>
  <si>
    <r>
      <rPr>
        <rFont val="Calibri"/>
        <color theme="1"/>
        <sz val="10.0"/>
      </rPr>
      <t>Lecane bulla</t>
    </r>
    <r>
      <rPr>
        <rFont val="Calibri"/>
        <color theme="1"/>
        <sz val="10.0"/>
      </rPr>
      <t xml:space="preserve"> (Gosse, 1851)</t>
    </r>
  </si>
  <si>
    <t>Asplanchna brightwelli</t>
  </si>
  <si>
    <t>Asplanchna</t>
  </si>
  <si>
    <t>Asplanchnidae</t>
  </si>
  <si>
    <r>
      <rPr>
        <rFont val="Calibri"/>
        <color theme="1"/>
        <sz val="10.0"/>
      </rPr>
      <t>Asplanchna brightwelli</t>
    </r>
    <r>
      <rPr>
        <rFont val="Calibri"/>
        <color theme="1"/>
        <sz val="10.0"/>
      </rPr>
      <t xml:space="preserve"> Gosse, 1850</t>
    </r>
  </si>
  <si>
    <t>Mesocyclops leukarti</t>
  </si>
  <si>
    <t>Mesocyclops</t>
  </si>
  <si>
    <t>Cyclopidae</t>
  </si>
  <si>
    <t>Cyclopoida</t>
  </si>
  <si>
    <t>Copepoda</t>
  </si>
  <si>
    <t>Arthropoda</t>
  </si>
  <si>
    <r>
      <rPr>
        <rFont val="Calibri"/>
        <color theme="1"/>
        <sz val="10.0"/>
      </rPr>
      <t>Mesocyclops leukarti</t>
    </r>
    <r>
      <rPr>
        <rFont val="Calibri"/>
        <color theme="1"/>
        <sz val="10.0"/>
      </rPr>
      <t xml:space="preserve"> (Claus, 1857)</t>
    </r>
  </si>
  <si>
    <t>Scapholeberis kingi</t>
  </si>
  <si>
    <t>Scapholeberis</t>
  </si>
  <si>
    <t>Daphnidae</t>
  </si>
  <si>
    <t xml:space="preserve">Anomopoda </t>
  </si>
  <si>
    <t>Branchiopoda</t>
  </si>
  <si>
    <r>
      <rPr>
        <rFont val="Calibri"/>
        <color theme="1"/>
        <sz val="10.0"/>
      </rPr>
      <t>Scapholeberis kingi</t>
    </r>
    <r>
      <rPr>
        <rFont val="Calibri"/>
        <color theme="1"/>
        <sz val="10.0"/>
      </rPr>
      <t xml:space="preserve"> Sars, 1901</t>
    </r>
  </si>
  <si>
    <t>Macrothrix spinosa</t>
  </si>
  <si>
    <t>Macrothrix</t>
  </si>
  <si>
    <t>Macrothricidae</t>
  </si>
  <si>
    <r>
      <rPr>
        <rFont val="Calibri"/>
        <color theme="1"/>
        <sz val="10.0"/>
      </rPr>
      <t>Macrothrix spinosa</t>
    </r>
    <r>
      <rPr>
        <rFont val="Calibri"/>
        <color theme="1"/>
        <sz val="10.0"/>
      </rPr>
      <t xml:space="preserve"> King, 1853</t>
    </r>
  </si>
  <si>
    <t>Macrothrix goeldi</t>
  </si>
  <si>
    <r>
      <rPr>
        <rFont val="Calibri"/>
        <color theme="1"/>
        <sz val="10.0"/>
      </rPr>
      <t>Macrothrix goeldi</t>
    </r>
    <r>
      <rPr>
        <rFont val="Calibri"/>
        <color theme="1"/>
        <sz val="10.0"/>
      </rPr>
      <t xml:space="preserve"> Richard, 1897</t>
    </r>
  </si>
  <si>
    <t>Alona pulchella</t>
  </si>
  <si>
    <t>Alona</t>
  </si>
  <si>
    <t>Chydoridae</t>
  </si>
  <si>
    <r>
      <rPr>
        <rFont val="Calibri"/>
        <color theme="1"/>
        <sz val="10.0"/>
      </rPr>
      <t>Alona pulchella</t>
    </r>
    <r>
      <rPr>
        <rFont val="Calibri"/>
        <color theme="1"/>
        <sz val="10.0"/>
      </rPr>
      <t xml:space="preserve"> King, 1853</t>
    </r>
  </si>
  <si>
    <t>Coronatella rectangula</t>
  </si>
  <si>
    <t>Coronatella</t>
  </si>
  <si>
    <r>
      <rPr>
        <rFont val="Calibri"/>
        <color theme="1"/>
        <sz val="10.0"/>
      </rPr>
      <t>Coronatella rectangula</t>
    </r>
    <r>
      <rPr>
        <rFont val="Calibri"/>
        <color theme="1"/>
        <sz val="10.0"/>
      </rPr>
      <t xml:space="preserve"> Sars, 1862</t>
    </r>
  </si>
  <si>
    <t>Diplonychus annulatus</t>
  </si>
  <si>
    <t>Diplonychus</t>
  </si>
  <si>
    <t>Belostomatidae</t>
  </si>
  <si>
    <t>Hemiptera</t>
  </si>
  <si>
    <t>Insecta</t>
  </si>
  <si>
    <r>
      <rPr>
        <rFont val="Calibri"/>
        <color theme="1"/>
        <sz val="10.0"/>
      </rPr>
      <t>Diplonychus annulatus</t>
    </r>
    <r>
      <rPr>
        <rFont val="Calibri"/>
        <color theme="1"/>
        <sz val="10.0"/>
      </rPr>
      <t xml:space="preserve"> (Fabricius, 1781)</t>
    </r>
  </si>
  <si>
    <t>Diplonychus rusticus</t>
  </si>
  <si>
    <r>
      <rPr>
        <rFont val="Calibri"/>
        <color theme="1"/>
        <sz val="10.0"/>
      </rPr>
      <t xml:space="preserve">Diplonychus rusticus </t>
    </r>
    <r>
      <rPr>
        <rFont val="Calibri"/>
        <color theme="1"/>
        <sz val="10.0"/>
      </rPr>
      <t>(Fabricius, 1781)</t>
    </r>
  </si>
  <si>
    <t>Aquarius adelaides</t>
  </si>
  <si>
    <t>Aquarius</t>
  </si>
  <si>
    <t>Gerridae</t>
  </si>
  <si>
    <t>Aquarius adelaides (Dohrn,1860)</t>
  </si>
  <si>
    <t>Limnogonus fossarum</t>
  </si>
  <si>
    <t>Limnogonus</t>
  </si>
  <si>
    <t>Limnogonus fossarum (Linnaeus, 1775)</t>
  </si>
  <si>
    <t>Laccotrephes griseus</t>
  </si>
  <si>
    <t>Laccotrephes</t>
  </si>
  <si>
    <t>Nepidae</t>
  </si>
  <si>
    <t>Laccotrephes griseus (Guerin-Meneville, 1844)</t>
  </si>
  <si>
    <t>Laccotrephes ruber</t>
  </si>
  <si>
    <t>Laccotrephes ruber (Linnaeus, 1764)</t>
  </si>
  <si>
    <t>Ranatra elongata</t>
  </si>
  <si>
    <t>Ranatra</t>
  </si>
  <si>
    <t>Ranatra elongata Fabricius 1790</t>
  </si>
  <si>
    <t>Ranatra filiformis</t>
  </si>
  <si>
    <t>Ranatra filiformis Fabricius, 1790</t>
  </si>
  <si>
    <t>Ranatra varipes</t>
  </si>
  <si>
    <t>Ranatra varipes Stal, 1861</t>
  </si>
  <si>
    <t>Anisops campbelli</t>
  </si>
  <si>
    <t>Anisops</t>
  </si>
  <si>
    <t>Notonectidae</t>
  </si>
  <si>
    <t>Anisops campbelli Brooks, 1951</t>
  </si>
  <si>
    <t xml:space="preserve">Hydrovatus confertus </t>
  </si>
  <si>
    <t>Hydrovatus</t>
  </si>
  <si>
    <t>Dytiscidae</t>
  </si>
  <si>
    <t>Coleoptera</t>
  </si>
  <si>
    <t>Hydrovatus confertus Sharp, 1882</t>
  </si>
  <si>
    <t xml:space="preserve">Macrobrachium malcolmsonii </t>
  </si>
  <si>
    <t>Palaemonidae</t>
  </si>
  <si>
    <t>Decapoda</t>
  </si>
  <si>
    <t>Malacostraca</t>
  </si>
  <si>
    <t>Macrobrachium malcolmsonii (H. Milne Edwards, 1844)</t>
  </si>
  <si>
    <t xml:space="preserve">Macrobrachium rosenbergii </t>
  </si>
  <si>
    <t>Macrobrachium rosenbergii (De Man, 1879)</t>
  </si>
  <si>
    <t>Macrobrachium rude (Heller, 1862)</t>
  </si>
  <si>
    <t>Macrobrachium equidens (Dana, 1852)</t>
  </si>
  <si>
    <t>Pila globosa</t>
  </si>
  <si>
    <t>Pila</t>
  </si>
  <si>
    <t>Ampullariidae</t>
  </si>
  <si>
    <t>Gastropoda</t>
  </si>
  <si>
    <t>Mollusca</t>
  </si>
  <si>
    <t>Pila globosa (Swainson, 1822)</t>
  </si>
  <si>
    <t>Filopaludina bengalensis</t>
  </si>
  <si>
    <t>Filopaludina</t>
  </si>
  <si>
    <t>Viviparidae</t>
  </si>
  <si>
    <t>Filopaludina bengalensis (Lamarck, 1822)</t>
  </si>
  <si>
    <t>Idiopoma dissimilis</t>
  </si>
  <si>
    <t>Idiopoma</t>
  </si>
  <si>
    <t>Idiopoma dissimilis (O. F. Müller, 1774)</t>
  </si>
  <si>
    <t>Melanoides tuberculata</t>
  </si>
  <si>
    <t>Melanoides</t>
  </si>
  <si>
    <t>Thiaridae</t>
  </si>
  <si>
    <t>Melanoides tuberculata (O. F. Müller, 1774)</t>
  </si>
  <si>
    <t>Tarebia lineata</t>
  </si>
  <si>
    <t>Tarebia</t>
  </si>
  <si>
    <t>Tarebia lineata (Gray, 1828)</t>
  </si>
  <si>
    <t>Bithynia pulchella</t>
  </si>
  <si>
    <t>Bithynia</t>
  </si>
  <si>
    <t>Bithyniidae</t>
  </si>
  <si>
    <t>Bithynia pulchella (Benson, 1836)</t>
  </si>
  <si>
    <t>Gabbia orcula</t>
  </si>
  <si>
    <t>Gabbia</t>
  </si>
  <si>
    <t>Gabbia orcula (Frauenfeld, 1862)</t>
  </si>
  <si>
    <t>Radix rufescens</t>
  </si>
  <si>
    <t>Radix</t>
  </si>
  <si>
    <t>Lymnaeidae</t>
  </si>
  <si>
    <t>Radix rufescens (J.E. Gray in G.B. Sowerby I, 1822)</t>
  </si>
  <si>
    <t>Racesina luteola</t>
  </si>
  <si>
    <t>Racesina</t>
  </si>
  <si>
    <t>Racesina luteola (Lamarck, 1822)</t>
  </si>
  <si>
    <t>Gyraulus barrackporensis</t>
  </si>
  <si>
    <t>Gyraulus</t>
  </si>
  <si>
    <t>Planorbidae</t>
  </si>
  <si>
    <t>Gyraulus barrackporensis (Clessin, 1886)</t>
  </si>
  <si>
    <t>Gyraulus convexiusculus</t>
  </si>
  <si>
    <t>Gyraulus convexiusculus (T. Hutton, 1849)</t>
  </si>
  <si>
    <t>Gyraulus euphraticus</t>
  </si>
  <si>
    <t>Gyraulus euphraticus (Mousson, 1874)</t>
  </si>
  <si>
    <t>Indoplanorbis exustus</t>
  </si>
  <si>
    <t>Indoplanorbis</t>
  </si>
  <si>
    <t>Bulinidae</t>
  </si>
  <si>
    <t>Indoplanorbis exustus (Deshayes, 1833)</t>
  </si>
  <si>
    <t>Ambassidae</t>
  </si>
  <si>
    <t>Ovalentariaincertaesedis</t>
  </si>
  <si>
    <t>Actinopteri</t>
  </si>
  <si>
    <t>Chordata</t>
  </si>
  <si>
    <t>Parambassis baculis (Hamilton, 1822)</t>
  </si>
  <si>
    <t>Aplocheilidae</t>
  </si>
  <si>
    <t>Cyprinodontiformes</t>
  </si>
  <si>
    <t xml:space="preserve">Aplocheilus panchax (Hamilton, 1822) </t>
  </si>
  <si>
    <t>Ariidae</t>
  </si>
  <si>
    <t>Siluriformes</t>
  </si>
  <si>
    <t>Netuma thalassina(Rüppell, 1837)</t>
  </si>
  <si>
    <t>Badidae</t>
  </si>
  <si>
    <t>Anabantiformes</t>
  </si>
  <si>
    <t>Badis badis (Hamilton, 1822)</t>
  </si>
  <si>
    <t>Bagridae</t>
  </si>
  <si>
    <t>Mystus tengara (Hamilton, 1822)</t>
  </si>
  <si>
    <t>Mystus vittatus (Bloch, 1794)</t>
  </si>
  <si>
    <t>Belonidae</t>
  </si>
  <si>
    <t>Beloniformes</t>
  </si>
  <si>
    <t>Xenentodon cancila(Hamilton, 1822)</t>
  </si>
  <si>
    <t>Channidae</t>
  </si>
  <si>
    <t>Channa punctate (Bloch, 1793)</t>
  </si>
  <si>
    <t>Channa striata (Bloch, 1793)</t>
  </si>
  <si>
    <t>Channa gachua (Hamilton, 1822)</t>
  </si>
  <si>
    <t>Cichlidae</t>
  </si>
  <si>
    <t>Cichliformes</t>
  </si>
  <si>
    <t>Oreochromis niloticus (Linnaeus, 1758)</t>
  </si>
  <si>
    <t>Cyprinidae</t>
  </si>
  <si>
    <t>Cypriniformes</t>
  </si>
  <si>
    <t>Puntius vittatus Day, 1865</t>
  </si>
  <si>
    <t>Danionidae</t>
  </si>
  <si>
    <t>Rasbora daniconius (Hamilton, 1822)</t>
  </si>
  <si>
    <t>Pethia phutunio (Hamilton, 1822)</t>
  </si>
  <si>
    <t>Gobiidae</t>
  </si>
  <si>
    <t>Gobiiformes</t>
  </si>
  <si>
    <t>Glossogobius giuris (Hamilton, 1822)</t>
  </si>
  <si>
    <t>Heteropneustidae</t>
  </si>
  <si>
    <t>Heteropneustes fossilis (Bloch, 1794)</t>
  </si>
  <si>
    <t>Mastacembelidae</t>
  </si>
  <si>
    <t>Synbranchiformes</t>
  </si>
  <si>
    <t>Macrognathus pancalus Hamilton, 1822</t>
  </si>
  <si>
    <t>Mastacembelus armatus (Lacepède, 1800)</t>
  </si>
  <si>
    <t>Notopteridae</t>
  </si>
  <si>
    <t>Osteoglossiformes</t>
  </si>
  <si>
    <t>Notopterus notopterus (Pallas, 1769)</t>
  </si>
  <si>
    <t>Osphronemidae</t>
  </si>
  <si>
    <t>Trichogaster lalius (Hamilton, 1822)</t>
  </si>
  <si>
    <t>Trichogaster fasciata Bloch &amp; Schneider, 1801</t>
  </si>
  <si>
    <t>Bufonidae</t>
  </si>
  <si>
    <t>Anura</t>
  </si>
  <si>
    <t>Amphibia</t>
  </si>
  <si>
    <t>Duttaphrynus melanostictus (Schneider, 1799)</t>
  </si>
  <si>
    <t>Duttaphrynus scaber (Schneider, 1799)</t>
  </si>
  <si>
    <t>Dicroglossidae</t>
  </si>
  <si>
    <t>Fejervarya orissaensis (Dutta, 1997)</t>
  </si>
  <si>
    <t>Minervarya agricola (Jerdon, 1853)</t>
  </si>
  <si>
    <t>Minervarya pierrei (Dubois, 1975)</t>
  </si>
  <si>
    <t>Euphlyctis cyanophlyctis (Schneider, 1799)</t>
  </si>
  <si>
    <t>Hoplobatrachus tigerinus (Daudin, 1803)</t>
  </si>
  <si>
    <t>Hoplobatrachus crassus (Jerdon, 1854)</t>
  </si>
  <si>
    <t>Sphaerotheca breviceps (Schneider, 1799)</t>
  </si>
  <si>
    <t>Sphaerotheca rolandae (Dubois, 1983)</t>
  </si>
  <si>
    <t>Microhylidae</t>
  </si>
  <si>
    <t>Microhyla mymensinghensis Hasan et al., 2014</t>
  </si>
  <si>
    <t>Uperodon systoma (Schneider, 1799)</t>
  </si>
  <si>
    <t>Ranidae</t>
  </si>
  <si>
    <t>Hylarana tytleri Theobald, 1868</t>
  </si>
  <si>
    <t>Rhacophoridae</t>
  </si>
  <si>
    <t>Polypedates maculatus (Gray, 1834)</t>
  </si>
  <si>
    <t>Varanidae</t>
  </si>
  <si>
    <t>Squamata</t>
  </si>
  <si>
    <t>Reptilia</t>
  </si>
  <si>
    <t>Varanus bengalensis (Daudin, 1802)</t>
  </si>
  <si>
    <t>Agamidae</t>
  </si>
  <si>
    <t>Calotes versicolor (Daudin, 1802)</t>
  </si>
  <si>
    <t>Homalopsidae</t>
  </si>
  <si>
    <t>Enhydris enhydris (Schneider, 1799)</t>
  </si>
  <si>
    <t>Colubridae</t>
  </si>
  <si>
    <t>Fowlea piscator (Schneider, 1799)</t>
  </si>
  <si>
    <t>Elapidae</t>
  </si>
  <si>
    <t>Bungarus fasciatus (Schneider, 1801)</t>
  </si>
  <si>
    <t>Naja naja (Linnaeus, 1758)</t>
  </si>
  <si>
    <t>Trionychidae</t>
  </si>
  <si>
    <t>Testudines</t>
  </si>
  <si>
    <t>Lissemys punctata (Bonnaterre, 1789)</t>
  </si>
  <si>
    <t>WETLAND DEP</t>
  </si>
  <si>
    <t>Anatidae</t>
  </si>
  <si>
    <t>Anseriformes</t>
  </si>
  <si>
    <t>Aves</t>
  </si>
  <si>
    <t>Dendrocygna javanica (Horsfield, 1821)</t>
  </si>
  <si>
    <t>Tadorna ferruginea (Pallas, 1764)</t>
  </si>
  <si>
    <t>Nettapus coromandelianus (J.F. Gmelin, 1789)</t>
  </si>
  <si>
    <t>Spatula querquedula (Linnaeus, 1758)</t>
  </si>
  <si>
    <t>Anas poecilorhyncha J.R. Forster, 1781</t>
  </si>
  <si>
    <t>Anas acuta Linnaeus, 1758</t>
  </si>
  <si>
    <t>Netta rufina (Pallas, 1773)</t>
  </si>
  <si>
    <t>Phasianidae</t>
  </si>
  <si>
    <t>Galliformes</t>
  </si>
  <si>
    <t>Francolinus pondicerianus (J.F. Gmelin, 1789)</t>
  </si>
  <si>
    <t>Gallus gallus (Linnaeus, 1758)</t>
  </si>
  <si>
    <t>Podicipedidae</t>
  </si>
  <si>
    <t>Podicipediformes</t>
  </si>
  <si>
    <t>Tachybaptus ruficollis (Pallas, 1764)</t>
  </si>
  <si>
    <t>Columbidae</t>
  </si>
  <si>
    <t>Columbiformes</t>
  </si>
  <si>
    <t>Columba livia J.F. Gmelin, 1789</t>
  </si>
  <si>
    <t>Streptopelia chinensis (Scopoli, 1786)</t>
  </si>
  <si>
    <t>Streptopelia senegalensis (Linnaeus, 1766)</t>
  </si>
  <si>
    <t>Chalcophaps indica (Linnaeus, 1758)</t>
  </si>
  <si>
    <t>Cuculidae</t>
  </si>
  <si>
    <t>Cuculiformes</t>
  </si>
  <si>
    <t>Centropus bengalensis (J.F. Gmelin, 1788)</t>
  </si>
  <si>
    <t>Eudynamys scolopaceus (Linnaeus, 1758)</t>
  </si>
  <si>
    <t>Hierococcyx varius (Vahl, 1797)</t>
  </si>
  <si>
    <t>Caprimulgidae</t>
  </si>
  <si>
    <t>Caprimulgiformes</t>
  </si>
  <si>
    <t>Caprimulgus asiaticus Latham, 1790</t>
  </si>
  <si>
    <t>Rallidae</t>
  </si>
  <si>
    <t>Gruiformes</t>
  </si>
  <si>
    <t>Gallinula chloropus (Linnaeus, 1758)</t>
  </si>
  <si>
    <t>Fulica atra Linnaeus, 1758</t>
  </si>
  <si>
    <t>Porphyrio poliocephalus (Latham, 1801)</t>
  </si>
  <si>
    <t>Amaurornis phoenicurus (Pennant, 1769)</t>
  </si>
  <si>
    <t>Recurvirostridae</t>
  </si>
  <si>
    <t>Charadriiformes</t>
  </si>
  <si>
    <t>Himantopus Himantopus (Linnaeus, 1758)</t>
  </si>
  <si>
    <t>Charadriidae</t>
  </si>
  <si>
    <t>Pluvialis fulva (J.F. Gmelin, 1789)</t>
  </si>
  <si>
    <t>Charadrius dubius Scopoli, 1786</t>
  </si>
  <si>
    <t>Vanellus malabaricus (Boddaert, 1783)</t>
  </si>
  <si>
    <t>Vanellus indicus (Boddaert, 1783)</t>
  </si>
  <si>
    <t>Jacanidae</t>
  </si>
  <si>
    <t>Metopidius indicus (Latham, 1790)</t>
  </si>
  <si>
    <t>Hydrophasianus chirurgus (Scopoli, 1786)</t>
  </si>
  <si>
    <t>Scolopacidae</t>
  </si>
  <si>
    <t>Numenius arquata (Linnaeus, 1758)</t>
  </si>
  <si>
    <t>Calidris minuta (Leisler, 1812)</t>
  </si>
  <si>
    <t>Xenus cinereus (Güldenstädt, 1775)</t>
  </si>
  <si>
    <t>Tringa ochropus Linnaeus, 1758</t>
  </si>
  <si>
    <t>Tringa nebularia (Gunnerus, 1767)</t>
  </si>
  <si>
    <t>Tringa stagnatilis (Bechstein, 1803)</t>
  </si>
  <si>
    <t>Tringa glareola Linnaeus, 1758</t>
  </si>
  <si>
    <t>Tringa tetanus (Linnaeus, 1758)</t>
  </si>
  <si>
    <t>Laridae</t>
  </si>
  <si>
    <t>Chroicocephalus brunnicephalus (Jerdon, 1840)</t>
  </si>
  <si>
    <t>Sternula albifrons (Pallas, 1764)</t>
  </si>
  <si>
    <t>Chlidonias hybrida (Pallas, 1811)</t>
  </si>
  <si>
    <t>Sterna aurantia J.E. Gray, 1831</t>
  </si>
  <si>
    <t>Ciconiidae</t>
  </si>
  <si>
    <t>Ciconiiformes</t>
  </si>
  <si>
    <t>Anastomus oscitans (Boddaert, 1783)</t>
  </si>
  <si>
    <t>Mycteria leucocephala (Pennant, 1769)</t>
  </si>
  <si>
    <t>Anhingidae</t>
  </si>
  <si>
    <t>Suliformes</t>
  </si>
  <si>
    <t>Anhinga melanogaster Pennant, 1769</t>
  </si>
  <si>
    <t>Phalacrocoracidae</t>
  </si>
  <si>
    <t>Microcarbo niger (Vieillot, 1817)</t>
  </si>
  <si>
    <t>Phalacrocorax fuscicollis Stephens, 1826</t>
  </si>
  <si>
    <t>Ardeidae</t>
  </si>
  <si>
    <t>Pelecaniformes</t>
  </si>
  <si>
    <t>Ardea cinerea Linnaeus, 1758</t>
  </si>
  <si>
    <t>Ardea purpurea Linnaeus, 1766</t>
  </si>
  <si>
    <t>Ardea alba Linnaeus, 1758</t>
  </si>
  <si>
    <t>Ardea intermedia Wagler, 1829</t>
  </si>
  <si>
    <t>Egretta garzetta (Linnaeus, 1766)</t>
  </si>
  <si>
    <t>Bubulcus ibis (Linnaeus, 1758)</t>
  </si>
  <si>
    <t>Ardeola grayii (Sykes, 1832)</t>
  </si>
  <si>
    <t>Nycticorax nycticorax (Linnaeus, 1758)</t>
  </si>
  <si>
    <t>Threskiornithidae</t>
  </si>
  <si>
    <t>Plegadis falcinellus (Linnaeus, 1766)</t>
  </si>
  <si>
    <t>Threskiornis melanocephalus (Latham, 1790)</t>
  </si>
  <si>
    <t>Accipitridae</t>
  </si>
  <si>
    <t>Accipitriformes</t>
  </si>
  <si>
    <t>Pernis ptilorhynchus (Temminck, 1821)</t>
  </si>
  <si>
    <t>Accipiter badius (J.F. Gmelin, 1788)</t>
  </si>
  <si>
    <t>Milvus migrans (Boddaert, 1783)</t>
  </si>
  <si>
    <t>Haliastur indus (Boddaert, 1783)</t>
  </si>
  <si>
    <t>Elanus caeruleus (Desfontaines, 1789)</t>
  </si>
  <si>
    <t>Haliaeetus leucogaster (J.F. Gmelin, 1788)</t>
  </si>
  <si>
    <t>Spilornis cheela  (Latham, 1790)</t>
  </si>
  <si>
    <t>Circus aeruginosus (Linnaeus, 1758)</t>
  </si>
  <si>
    <t>Tytonidae</t>
  </si>
  <si>
    <t>Strigiformes</t>
  </si>
  <si>
    <t>Tyto alba (Scopoli, 1769)</t>
  </si>
  <si>
    <t>Athene brama (Temminck, 1821)</t>
  </si>
  <si>
    <t>Upupidae</t>
  </si>
  <si>
    <t>Bucerotiformes</t>
  </si>
  <si>
    <t>Upupa epops Linnaeus, 1758</t>
  </si>
  <si>
    <t>Bucerotidae</t>
  </si>
  <si>
    <t>Ocyceros birostris (Scopoli, 1786)</t>
  </si>
  <si>
    <t>Alcedinidae</t>
  </si>
  <si>
    <t>Coraciiformes</t>
  </si>
  <si>
    <t>Alcedo atthis (Linnaeus, 1758)</t>
  </si>
  <si>
    <t>Halcyon smyrnensis (Linnaeus, 1758)</t>
  </si>
  <si>
    <t>Ceryle rudis (Linnaeus, 1758)</t>
  </si>
  <si>
    <t>Meropidae</t>
  </si>
  <si>
    <t>Merops orientalis Latham, 1801</t>
  </si>
  <si>
    <t>Merops philippinus Linnaeus, 1767</t>
  </si>
  <si>
    <t>Coraciidae</t>
  </si>
  <si>
    <t>Coracias benghalensis (Linnaeus, 1758)</t>
  </si>
  <si>
    <t>Picidae</t>
  </si>
  <si>
    <t>Piciformes</t>
  </si>
  <si>
    <t>Dinopium benghalense (Linnaeus, 1758)</t>
  </si>
  <si>
    <t>Megalaimidae</t>
  </si>
  <si>
    <t>Psilopogon haemacephalus (Statius Muller, 1776)</t>
  </si>
  <si>
    <t>Psilopogon zeylanicus (J.F. Gmelin, 1788)</t>
  </si>
  <si>
    <t>Psittaculidae</t>
  </si>
  <si>
    <t>Psittaciformes</t>
  </si>
  <si>
    <t>Psittacula eupatria (Linnaeus, 1766)</t>
  </si>
  <si>
    <t>Psittacula krameria (Scopoli, 1769)</t>
  </si>
  <si>
    <t>Aegithinidae</t>
  </si>
  <si>
    <t>Passeriformes</t>
  </si>
  <si>
    <t>Aegithina tiphia (Linnaeus, 1758)</t>
  </si>
  <si>
    <t>Oriolidae</t>
  </si>
  <si>
    <t>Oriolus kundoo Sykes, 1832</t>
  </si>
  <si>
    <t>Oriolus xanthornus (Linnaeus, 1758)</t>
  </si>
  <si>
    <t>Laniidae</t>
  </si>
  <si>
    <t>Lanius cristatus Linnaeus, 1758</t>
  </si>
  <si>
    <t>Dicruridae</t>
  </si>
  <si>
    <t>Dicrurus caerulescens (Linnaeus, 1758)</t>
  </si>
  <si>
    <t>Dicrurus macrocercus Vieillot, 1817</t>
  </si>
  <si>
    <t>Corvidae</t>
  </si>
  <si>
    <t>Dendrocitta vagabunda (Latham, 1790)</t>
  </si>
  <si>
    <t>Corvus splendens Vieillot, 1817</t>
  </si>
  <si>
    <t>Corvus macrorhynchos Wagler, 1827</t>
  </si>
  <si>
    <t>Cisticolidae</t>
  </si>
  <si>
    <t>Prinia socialis Sykes, 1832</t>
  </si>
  <si>
    <t>Prinia inornate Sykes, 1832</t>
  </si>
  <si>
    <t>Cisticola juncidis (Rafinesque, 1810)</t>
  </si>
  <si>
    <t>Acrocephalidae</t>
  </si>
  <si>
    <t>Acrocephalus stentoreus (Hemprich &amp; Ehrenberg, 1833)</t>
  </si>
  <si>
    <t>Hirundinidae</t>
  </si>
  <si>
    <t>Hirundo rustica Linnaeus, 1758</t>
  </si>
  <si>
    <t>Pycnonotidae</t>
  </si>
  <si>
    <t>Pycnonotus cafer (Linnaeus, 1766)</t>
  </si>
  <si>
    <t>Pycnonotus luteolus (Lesson, 1841)</t>
  </si>
  <si>
    <t>Pycnonotus jocosus (Linnaeus, 1758)</t>
  </si>
  <si>
    <t>Leiothrichidae</t>
  </si>
  <si>
    <t>Argya striata (Dumont, 1823)</t>
  </si>
  <si>
    <t>Sturnidae</t>
  </si>
  <si>
    <t>Gracupica contra (Linnaeus, 1758)</t>
  </si>
  <si>
    <t>Sturnia malabarica · (Gmelin, JF, 1789)</t>
  </si>
  <si>
    <t>Acridotheres tristis (Linnaeus, 1766)</t>
  </si>
  <si>
    <t>Acridotheres ginginianus (Latham, 1790)</t>
  </si>
  <si>
    <t>Acridotheres fuscus (Wagler, 1827)</t>
  </si>
  <si>
    <t>Muscicapidae</t>
  </si>
  <si>
    <t>Copsychus fulicatus (Linnaeus, 1766)</t>
  </si>
  <si>
    <t>Copsychus saularis (Linnaeus, 1758)</t>
  </si>
  <si>
    <t>Nectariniidae</t>
  </si>
  <si>
    <t>Cinnyris asiaticus (Latham, 1790)</t>
  </si>
  <si>
    <t>Leptocoma zeylonica (Linnaeus, 1766)</t>
  </si>
  <si>
    <t>Estrildidae</t>
  </si>
  <si>
    <t>Lonchura punctulate (Linnaeus, 1758)</t>
  </si>
  <si>
    <t>Lonchura malacca (Linnaeus, 1766)</t>
  </si>
  <si>
    <t>Euodice malabarica (Linnaeus, 1758)</t>
  </si>
  <si>
    <t>Passeridae</t>
  </si>
  <si>
    <t>Passer domesticus (Linnaeus, 1758)</t>
  </si>
  <si>
    <t>Motacillidae</t>
  </si>
  <si>
    <t>Motacilla citreola Pallas, 1776</t>
  </si>
  <si>
    <t>Motacilla tschutschensis J.F. Gmelin, 1789</t>
  </si>
  <si>
    <t>Motacilla alba Linnaeus, 1758</t>
  </si>
  <si>
    <t>Anthus rufulus Vieillot, 1818</t>
  </si>
  <si>
    <t>Cercopithecidae</t>
  </si>
  <si>
    <t>Primates</t>
  </si>
  <si>
    <t>Macaca mulatta (Zimmermann, 1780)</t>
  </si>
  <si>
    <t>Semnopithecus entellus (Dufresne, 1797)</t>
  </si>
  <si>
    <t>Sciuridae</t>
  </si>
  <si>
    <t>Rodentia</t>
  </si>
  <si>
    <t>Funambulus palmarum (Linnaeus, 1766)</t>
  </si>
  <si>
    <t>Hystricidae</t>
  </si>
  <si>
    <t>Hystrix indica Kerr, 1792</t>
  </si>
  <si>
    <t>Leporidae</t>
  </si>
  <si>
    <t>Lagomorpha</t>
  </si>
  <si>
    <t>Lepus nigricollis F. Cuvier, 1823</t>
  </si>
  <si>
    <t>Pteropodidae</t>
  </si>
  <si>
    <t>Chiroptera</t>
  </si>
  <si>
    <t>Pteropus giganteus (Brunnich, 1782)</t>
  </si>
  <si>
    <t>Felidae</t>
  </si>
  <si>
    <t>Carnivora</t>
  </si>
  <si>
    <t>Felis chaus Schreber, 1777</t>
  </si>
  <si>
    <t>Prionailurus viverrinus (Bennett, 1833)</t>
  </si>
  <si>
    <t>Viverridae</t>
  </si>
  <si>
    <t>Paradoxurus hermaphrodites (Pallas, 1777)</t>
  </si>
  <si>
    <t>Viverricula indica (Desmarest, 1804)</t>
  </si>
  <si>
    <t>Herpestidae</t>
  </si>
  <si>
    <t>Urva auropunctatus (Hodgson, 1836)</t>
  </si>
  <si>
    <t>Canidae</t>
  </si>
  <si>
    <t>Canis aureus Linnaeus, 1758</t>
  </si>
  <si>
    <t>Suidae</t>
  </si>
  <si>
    <t>Artiodactyla</t>
  </si>
  <si>
    <t>Sus scrofa Linnaeus, 1758</t>
  </si>
  <si>
    <t>SCIENTIFIC NAME</t>
  </si>
  <si>
    <t>CLADE</t>
  </si>
  <si>
    <t xml:space="preserve">Merismopedia ferrophila </t>
  </si>
  <si>
    <t>Cyanobacteria</t>
  </si>
  <si>
    <t xml:space="preserve">Merismopedia tenuissima </t>
  </si>
  <si>
    <t>Chroococcus schizodermaticus</t>
  </si>
  <si>
    <t>Chroococcus turgidus</t>
  </si>
  <si>
    <t>Spirulina major</t>
  </si>
  <si>
    <t>Oscillatoria leonardii</t>
  </si>
  <si>
    <t>Anabaena subcylindrica</t>
  </si>
  <si>
    <t>Euglena nuitabilis</t>
  </si>
  <si>
    <t>Euglenophyta</t>
  </si>
  <si>
    <t>Colacium physeter</t>
  </si>
  <si>
    <t>Euglena proxima</t>
  </si>
  <si>
    <t>Phacus longicauda</t>
  </si>
  <si>
    <t>Trachelomonas nigra</t>
  </si>
  <si>
    <t>Ulnaria ulna</t>
  </si>
  <si>
    <t>Bacillariophyta</t>
  </si>
  <si>
    <t>Eunotia bilunaris</t>
  </si>
  <si>
    <t xml:space="preserve">Mastogloia smithii </t>
  </si>
  <si>
    <t>Cymbella aspera</t>
  </si>
  <si>
    <t>Comphonema vibrio</t>
  </si>
  <si>
    <t>Neidium eine var. amphirhyrichus</t>
  </si>
  <si>
    <t>Pinnularia aniabilis</t>
  </si>
  <si>
    <t>Pinnularia borealis</t>
  </si>
  <si>
    <t>Pinnularia viridis</t>
  </si>
  <si>
    <t>Navicula radiosa</t>
  </si>
  <si>
    <t>Navicula viridula var. rostellata</t>
  </si>
  <si>
    <t>Gyrosignia scalproides var. eximiton</t>
  </si>
  <si>
    <t>Stauroneis anceps</t>
  </si>
  <si>
    <t>Stauroneis pusila</t>
  </si>
  <si>
    <t>Amphora elliptica</t>
  </si>
  <si>
    <t>Amphora oval</t>
  </si>
  <si>
    <t>Nitzschia palea</t>
  </si>
  <si>
    <t>Rhopalodia gibba</t>
  </si>
  <si>
    <t>Chlamlydomonas ehrenbergii</t>
  </si>
  <si>
    <t>Chlorophyta</t>
  </si>
  <si>
    <t>Ankistrodesmus stipitatus</t>
  </si>
  <si>
    <t>Kirchneriella obesa</t>
  </si>
  <si>
    <t>Monoraphidium irregulare</t>
  </si>
  <si>
    <t>Monoraphidium tortile</t>
  </si>
  <si>
    <t>Coelastrum scabrum</t>
  </si>
  <si>
    <t>Desmodesmus armatus (Chodat) var. spinus</t>
  </si>
  <si>
    <t>Scenedesmus obliqus</t>
  </si>
  <si>
    <t>Scenedesmus planctonicus</t>
  </si>
  <si>
    <t>Crucigenia tetrapedia</t>
  </si>
  <si>
    <t>Botryococcus braunii</t>
  </si>
  <si>
    <t>Closterium leibleinii var. angulation</t>
  </si>
  <si>
    <t>Charophyta</t>
  </si>
  <si>
    <t xml:space="preserve">Closterium jenneri Ralfs var. Robustuni </t>
  </si>
  <si>
    <t>Cosmariton Isere</t>
  </si>
  <si>
    <t>Cosmariton monilifinme</t>
  </si>
  <si>
    <t>Cosmariton radiosum</t>
  </si>
  <si>
    <t xml:space="preserve">Cosmariton trilobulatum var. abscission </t>
  </si>
  <si>
    <t>Cosmariton undulation var. ivollei</t>
  </si>
  <si>
    <t xml:space="preserve">Euastrum spinulcision var. spinulosion </t>
  </si>
  <si>
    <t>Staurastrum bloklandiae</t>
  </si>
  <si>
    <t>Staurastrum gracile var. nanum</t>
  </si>
  <si>
    <t>Chara fragilis</t>
  </si>
  <si>
    <t>HABIT</t>
  </si>
  <si>
    <t>AQ</t>
  </si>
  <si>
    <t>Aeschynomene aspera</t>
  </si>
  <si>
    <t>Fabaceae</t>
  </si>
  <si>
    <t>Herb</t>
  </si>
  <si>
    <t>Alocasia macrorrhizos</t>
  </si>
  <si>
    <t>Araceae</t>
  </si>
  <si>
    <t>Alloteropsis cimicina</t>
  </si>
  <si>
    <t>Poaceae</t>
  </si>
  <si>
    <t>Grass</t>
  </si>
  <si>
    <t>Apluda mutica</t>
  </si>
  <si>
    <t>Blyxa octandra</t>
  </si>
  <si>
    <t>Hydrocharitaceae</t>
  </si>
  <si>
    <t>Bolboschoenus maritimus</t>
  </si>
  <si>
    <t>Cyperaceae</t>
  </si>
  <si>
    <t>Ceratophyllum demersum</t>
  </si>
  <si>
    <t>Ceratophyllaceae</t>
  </si>
  <si>
    <t>Ceratopteris thalictroides</t>
  </si>
  <si>
    <t>Pteridaceae</t>
  </si>
  <si>
    <t>Fern</t>
  </si>
  <si>
    <t>Chara vulgaris</t>
  </si>
  <si>
    <t>Characeae</t>
  </si>
  <si>
    <t>Cladophora glomerata</t>
  </si>
  <si>
    <t>Cladophoraceae</t>
  </si>
  <si>
    <t>Commelina diffusa</t>
  </si>
  <si>
    <t>Commelinaceae</t>
  </si>
  <si>
    <t>Eragrostis nutans</t>
  </si>
  <si>
    <t>Limnophila aromatica</t>
  </si>
  <si>
    <t>Plantaginaceae</t>
  </si>
  <si>
    <t>Limnophila heterophylla</t>
  </si>
  <si>
    <t>Limnophila indica</t>
  </si>
  <si>
    <t>Scrophulariaceae</t>
  </si>
  <si>
    <t>Najas indica</t>
  </si>
  <si>
    <t>Najadaceae</t>
  </si>
  <si>
    <t>Nechamandra alternifolia</t>
  </si>
  <si>
    <t>Neptunia oleracea</t>
  </si>
  <si>
    <t>Mimosaceae</t>
  </si>
  <si>
    <t>Panicum repens</t>
  </si>
  <si>
    <t>Paspalidium punctatum</t>
  </si>
  <si>
    <t>Paspalum distichum</t>
  </si>
  <si>
    <t>Paspalum scrobiculatum</t>
  </si>
  <si>
    <t>Paspalum vaginatum</t>
  </si>
  <si>
    <t>Persicaria barbata</t>
  </si>
  <si>
    <t>Polygonaceae</t>
  </si>
  <si>
    <t>Potamogeton crispus</t>
  </si>
  <si>
    <t>Potamogetnaceae</t>
  </si>
  <si>
    <t>Potamogeton lucens</t>
  </si>
  <si>
    <t>Ruppia maritima</t>
  </si>
  <si>
    <t>Ruppiaceae</t>
  </si>
  <si>
    <t>Salvinia natans</t>
  </si>
  <si>
    <t>Salviniaceae</t>
  </si>
  <si>
    <t>Nelumbo nucifera</t>
  </si>
  <si>
    <t>Nymphaeaceae</t>
  </si>
  <si>
    <t>Nymphaea nouchali</t>
  </si>
  <si>
    <t>Nymphaea pubescens</t>
  </si>
  <si>
    <t>Nymphoides cristata</t>
  </si>
  <si>
    <t>Menyanthanceae</t>
  </si>
  <si>
    <t>Nymphoides hydrophylla</t>
  </si>
  <si>
    <t>Nymphoides indica</t>
  </si>
  <si>
    <t>Nymphoides parvifolia</t>
  </si>
  <si>
    <t>Marsilea minuta</t>
  </si>
  <si>
    <t>Onagraceae</t>
  </si>
  <si>
    <t>Marsilea polycarpa</t>
  </si>
  <si>
    <t>Marsileaceae</t>
  </si>
  <si>
    <t>Marsilea quadrifolia</t>
  </si>
  <si>
    <t>Sagittaria sagittifolia</t>
  </si>
  <si>
    <t>Alismataceae</t>
  </si>
  <si>
    <t>Wolffia arrhiza</t>
  </si>
  <si>
    <t>Wolffia globosa</t>
  </si>
  <si>
    <t>Typha angustata</t>
  </si>
  <si>
    <t>Typhaceae</t>
  </si>
  <si>
    <t>Typha domingensis</t>
  </si>
  <si>
    <t>Utricularia aurea</t>
  </si>
  <si>
    <t>Lentibulariaceae</t>
  </si>
  <si>
    <t>Utricularia bifida</t>
  </si>
  <si>
    <t>Utricularia inflexa</t>
  </si>
  <si>
    <t>Utricularia stellaris</t>
  </si>
  <si>
    <t>Utriculariaceae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</si>
</sst>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i/>
      <sz val="10.0"/>
      <color theme="1"/>
      <name val="Calibri"/>
    </font>
    <font>
      <sz val="10.0"/>
      <color rgb="FF131313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i/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left"/>
    </xf>
    <xf borderId="0" fillId="0" fontId="1" numFmtId="0" xfId="0" applyFont="1"/>
    <xf borderId="0" fillId="3" fontId="2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4" numFmtId="0" xfId="0" applyFont="1"/>
    <xf borderId="0" fillId="4" fontId="1" numFmtId="0" xfId="0" applyFill="1" applyFont="1"/>
    <xf borderId="0" fillId="0" fontId="2" numFmtId="0" xfId="0" applyAlignment="1" applyFont="1">
      <alignment vertical="top"/>
    </xf>
    <xf borderId="0" fillId="5" fontId="5" numFmtId="0" xfId="0" applyAlignment="1" applyFill="1" applyFont="1">
      <alignment vertical="bottom"/>
    </xf>
    <xf borderId="0" fillId="5" fontId="6" numFmtId="0" xfId="0" applyFont="1"/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33"/>
    <col customWidth="1" min="2" max="5" width="10.56"/>
    <col customWidth="1" min="6" max="7" width="14.11"/>
    <col customWidth="1" min="8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12</v>
      </c>
      <c r="G2" s="5" t="s">
        <v>13</v>
      </c>
    </row>
    <row r="3" ht="15.75" customHeight="1">
      <c r="A3" s="4" t="s">
        <v>14</v>
      </c>
      <c r="B3" s="4" t="s">
        <v>15</v>
      </c>
      <c r="C3" s="4" t="s">
        <v>16</v>
      </c>
      <c r="D3" s="3" t="s">
        <v>10</v>
      </c>
      <c r="E3" s="3" t="s">
        <v>17</v>
      </c>
      <c r="F3" s="3" t="s">
        <v>12</v>
      </c>
      <c r="G3" s="5" t="s">
        <v>18</v>
      </c>
    </row>
    <row r="4" ht="15.75" customHeight="1">
      <c r="A4" s="4" t="s">
        <v>19</v>
      </c>
      <c r="B4" s="2" t="s">
        <v>20</v>
      </c>
      <c r="C4" s="3" t="s">
        <v>21</v>
      </c>
      <c r="D4" s="4" t="s">
        <v>22</v>
      </c>
      <c r="E4" s="4" t="s">
        <v>23</v>
      </c>
      <c r="F4" s="4" t="s">
        <v>24</v>
      </c>
      <c r="G4" s="5" t="s">
        <v>25</v>
      </c>
    </row>
    <row r="5" ht="15.75" customHeight="1">
      <c r="A5" s="4" t="s">
        <v>26</v>
      </c>
      <c r="B5" s="2" t="s">
        <v>20</v>
      </c>
      <c r="C5" s="3" t="s">
        <v>21</v>
      </c>
      <c r="D5" s="4" t="s">
        <v>22</v>
      </c>
      <c r="E5" s="4" t="s">
        <v>23</v>
      </c>
      <c r="F5" s="4" t="s">
        <v>24</v>
      </c>
      <c r="G5" s="5" t="s">
        <v>27</v>
      </c>
    </row>
    <row r="6" ht="15.75" customHeight="1">
      <c r="A6" s="4" t="s">
        <v>28</v>
      </c>
      <c r="B6" s="4" t="s">
        <v>29</v>
      </c>
      <c r="C6" s="3" t="s">
        <v>21</v>
      </c>
      <c r="D6" s="3" t="s">
        <v>22</v>
      </c>
      <c r="E6" s="4" t="s">
        <v>23</v>
      </c>
      <c r="F6" s="4" t="s">
        <v>24</v>
      </c>
      <c r="G6" s="5" t="s">
        <v>30</v>
      </c>
    </row>
    <row r="7" ht="15.75" customHeight="1">
      <c r="A7" s="4" t="s">
        <v>31</v>
      </c>
      <c r="B7" s="4" t="s">
        <v>32</v>
      </c>
      <c r="C7" s="4" t="s">
        <v>33</v>
      </c>
      <c r="D7" s="3" t="s">
        <v>22</v>
      </c>
      <c r="E7" s="4" t="s">
        <v>23</v>
      </c>
      <c r="F7" s="4" t="s">
        <v>24</v>
      </c>
      <c r="G7" s="5" t="s">
        <v>34</v>
      </c>
    </row>
    <row r="8" ht="15.75" customHeight="1">
      <c r="A8" s="4" t="s">
        <v>35</v>
      </c>
      <c r="B8" s="4" t="s">
        <v>32</v>
      </c>
      <c r="C8" s="4" t="s">
        <v>33</v>
      </c>
      <c r="D8" s="3" t="s">
        <v>22</v>
      </c>
      <c r="E8" s="4" t="s">
        <v>23</v>
      </c>
      <c r="F8" s="4" t="s">
        <v>24</v>
      </c>
      <c r="G8" s="5" t="s">
        <v>36</v>
      </c>
    </row>
    <row r="9" ht="15.75" customHeight="1">
      <c r="A9" s="4" t="s">
        <v>37</v>
      </c>
      <c r="B9" s="4" t="s">
        <v>38</v>
      </c>
      <c r="C9" s="4" t="s">
        <v>39</v>
      </c>
      <c r="D9" s="3" t="s">
        <v>22</v>
      </c>
      <c r="E9" s="4" t="s">
        <v>23</v>
      </c>
      <c r="F9" s="4" t="s">
        <v>24</v>
      </c>
      <c r="G9" s="5" t="s">
        <v>40</v>
      </c>
    </row>
    <row r="10" ht="15.75" customHeight="1">
      <c r="A10" s="4" t="s">
        <v>41</v>
      </c>
      <c r="B10" s="4" t="s">
        <v>42</v>
      </c>
      <c r="C10" s="2" t="s">
        <v>43</v>
      </c>
      <c r="D10" s="3" t="s">
        <v>44</v>
      </c>
      <c r="E10" s="2" t="s">
        <v>45</v>
      </c>
      <c r="F10" s="2" t="s">
        <v>46</v>
      </c>
      <c r="G10" s="5" t="s">
        <v>47</v>
      </c>
    </row>
    <row r="11" ht="15.75" customHeight="1">
      <c r="A11" s="4" t="s">
        <v>48</v>
      </c>
      <c r="B11" s="4" t="s">
        <v>49</v>
      </c>
      <c r="C11" s="2" t="s">
        <v>50</v>
      </c>
      <c r="D11" s="4" t="s">
        <v>51</v>
      </c>
      <c r="E11" s="3" t="s">
        <v>52</v>
      </c>
      <c r="F11" s="2" t="s">
        <v>46</v>
      </c>
      <c r="G11" s="5" t="s">
        <v>53</v>
      </c>
    </row>
    <row r="12" ht="15.75" customHeight="1">
      <c r="A12" s="4" t="s">
        <v>54</v>
      </c>
      <c r="B12" s="4" t="s">
        <v>55</v>
      </c>
      <c r="C12" s="4" t="s">
        <v>56</v>
      </c>
      <c r="D12" s="4" t="s">
        <v>51</v>
      </c>
      <c r="E12" s="3" t="s">
        <v>52</v>
      </c>
      <c r="F12" s="2" t="s">
        <v>46</v>
      </c>
      <c r="G12" s="5" t="s">
        <v>57</v>
      </c>
    </row>
    <row r="13" ht="15.75" customHeight="1">
      <c r="A13" s="4" t="s">
        <v>58</v>
      </c>
      <c r="B13" s="4" t="s">
        <v>55</v>
      </c>
      <c r="C13" s="4" t="s">
        <v>56</v>
      </c>
      <c r="D13" s="4" t="s">
        <v>51</v>
      </c>
      <c r="E13" s="3" t="s">
        <v>52</v>
      </c>
      <c r="F13" s="2" t="s">
        <v>46</v>
      </c>
      <c r="G13" s="5" t="s">
        <v>59</v>
      </c>
    </row>
    <row r="14" ht="15.75" customHeight="1">
      <c r="A14" s="4" t="s">
        <v>60</v>
      </c>
      <c r="B14" s="4" t="s">
        <v>61</v>
      </c>
      <c r="C14" s="4" t="s">
        <v>62</v>
      </c>
      <c r="D14" s="4" t="s">
        <v>51</v>
      </c>
      <c r="E14" s="3" t="s">
        <v>52</v>
      </c>
      <c r="F14" s="2" t="s">
        <v>46</v>
      </c>
      <c r="G14" s="5" t="s">
        <v>63</v>
      </c>
    </row>
    <row r="15" ht="15.75" customHeight="1">
      <c r="A15" s="4" t="s">
        <v>64</v>
      </c>
      <c r="B15" s="4" t="s">
        <v>65</v>
      </c>
      <c r="C15" s="4" t="s">
        <v>62</v>
      </c>
      <c r="D15" s="4" t="s">
        <v>51</v>
      </c>
      <c r="E15" s="3" t="s">
        <v>52</v>
      </c>
      <c r="F15" s="2" t="s">
        <v>46</v>
      </c>
      <c r="G15" s="5" t="s">
        <v>66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3.0"/>
    <col customWidth="1" min="2" max="2" width="16.56"/>
  </cols>
  <sheetData>
    <row r="1">
      <c r="A1" s="15" t="s">
        <v>450</v>
      </c>
      <c r="B1" s="15" t="s">
        <v>2</v>
      </c>
      <c r="C1" s="15" t="s">
        <v>509</v>
      </c>
      <c r="D1" s="16" t="s">
        <v>510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7" t="s">
        <v>511</v>
      </c>
      <c r="B2" s="18" t="s">
        <v>512</v>
      </c>
      <c r="C2" s="18" t="s">
        <v>513</v>
      </c>
      <c r="D2" s="3">
        <v>0.0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7" t="s">
        <v>514</v>
      </c>
      <c r="B3" s="18" t="s">
        <v>515</v>
      </c>
      <c r="C3" s="18" t="s">
        <v>513</v>
      </c>
      <c r="D3" s="3">
        <v>0.0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7" t="s">
        <v>516</v>
      </c>
      <c r="B4" s="18" t="s">
        <v>517</v>
      </c>
      <c r="C4" s="18" t="s">
        <v>518</v>
      </c>
      <c r="D4" s="3">
        <v>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7" t="s">
        <v>519</v>
      </c>
      <c r="B5" s="18" t="s">
        <v>517</v>
      </c>
      <c r="C5" s="18" t="s">
        <v>513</v>
      </c>
      <c r="D5" s="3">
        <v>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7" t="s">
        <v>520</v>
      </c>
      <c r="B6" s="18" t="s">
        <v>521</v>
      </c>
      <c r="C6" s="18" t="s">
        <v>513</v>
      </c>
      <c r="D6" s="3">
        <v>2.0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7" t="s">
        <v>522</v>
      </c>
      <c r="B7" s="18" t="s">
        <v>523</v>
      </c>
      <c r="C7" s="18" t="s">
        <v>513</v>
      </c>
      <c r="D7" s="3">
        <v>1.0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524</v>
      </c>
      <c r="B8" s="18" t="s">
        <v>525</v>
      </c>
      <c r="C8" s="18" t="s">
        <v>513</v>
      </c>
      <c r="D8" s="3">
        <v>2.0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7" t="s">
        <v>526</v>
      </c>
      <c r="B9" s="18" t="s">
        <v>527</v>
      </c>
      <c r="C9" s="18" t="s">
        <v>528</v>
      </c>
      <c r="D9" s="3">
        <v>1.0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7" t="s">
        <v>529</v>
      </c>
      <c r="B10" s="18" t="s">
        <v>530</v>
      </c>
      <c r="C10" s="18" t="s">
        <v>513</v>
      </c>
      <c r="D10" s="3">
        <v>2.0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7" t="s">
        <v>531</v>
      </c>
      <c r="B11" s="18" t="s">
        <v>532</v>
      </c>
      <c r="C11" s="18" t="s">
        <v>513</v>
      </c>
      <c r="D11" s="3">
        <v>2.0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7" t="s">
        <v>533</v>
      </c>
      <c r="B12" s="18" t="s">
        <v>534</v>
      </c>
      <c r="C12" s="18" t="s">
        <v>513</v>
      </c>
      <c r="D12" s="3">
        <v>0.0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7" t="s">
        <v>535</v>
      </c>
      <c r="B13" s="18" t="s">
        <v>517</v>
      </c>
      <c r="C13" s="18" t="s">
        <v>513</v>
      </c>
      <c r="D13" s="3">
        <v>0.0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7" t="s">
        <v>536</v>
      </c>
      <c r="B14" s="18" t="s">
        <v>537</v>
      </c>
      <c r="C14" s="18" t="s">
        <v>513</v>
      </c>
      <c r="D14" s="3">
        <v>2.0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7" t="s">
        <v>538</v>
      </c>
      <c r="B15" s="18" t="s">
        <v>537</v>
      </c>
      <c r="C15" s="18" t="s">
        <v>513</v>
      </c>
      <c r="D15" s="3">
        <v>2.0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7" t="s">
        <v>539</v>
      </c>
      <c r="B16" s="18" t="s">
        <v>540</v>
      </c>
      <c r="C16" s="18" t="s">
        <v>513</v>
      </c>
      <c r="D16" s="3">
        <v>2.0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7" t="s">
        <v>541</v>
      </c>
      <c r="B17" s="18" t="s">
        <v>542</v>
      </c>
      <c r="C17" s="18" t="s">
        <v>513</v>
      </c>
      <c r="D17" s="3">
        <v>2.0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7" t="s">
        <v>543</v>
      </c>
      <c r="B18" s="18" t="s">
        <v>521</v>
      </c>
      <c r="C18" s="18" t="s">
        <v>513</v>
      </c>
      <c r="D18" s="3">
        <v>2.0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7" t="s">
        <v>544</v>
      </c>
      <c r="B19" s="18" t="s">
        <v>545</v>
      </c>
      <c r="C19" s="18" t="s">
        <v>513</v>
      </c>
      <c r="D19" s="3">
        <v>2.0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7" t="s">
        <v>546</v>
      </c>
      <c r="B20" s="18" t="s">
        <v>517</v>
      </c>
      <c r="C20" s="14" t="s">
        <v>513</v>
      </c>
      <c r="D20" s="3">
        <v>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7" t="s">
        <v>547</v>
      </c>
      <c r="B21" s="18" t="s">
        <v>517</v>
      </c>
      <c r="C21" s="14" t="s">
        <v>513</v>
      </c>
      <c r="D21" s="3">
        <v>0.0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7" t="s">
        <v>548</v>
      </c>
      <c r="B22" s="18" t="s">
        <v>517</v>
      </c>
      <c r="C22" s="14" t="s">
        <v>513</v>
      </c>
      <c r="D22" s="3">
        <v>0.0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7" t="s">
        <v>549</v>
      </c>
      <c r="B23" s="18" t="s">
        <v>517</v>
      </c>
      <c r="C23" s="14" t="s">
        <v>513</v>
      </c>
      <c r="D23" s="3">
        <v>0.0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7" t="s">
        <v>550</v>
      </c>
      <c r="B24" s="18" t="s">
        <v>517</v>
      </c>
      <c r="C24" s="14" t="s">
        <v>513</v>
      </c>
      <c r="D24" s="3">
        <v>0.0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7" t="s">
        <v>551</v>
      </c>
      <c r="B25" s="18" t="s">
        <v>552</v>
      </c>
      <c r="C25" s="18" t="s">
        <v>513</v>
      </c>
      <c r="D25" s="3">
        <v>0.0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7" t="s">
        <v>553</v>
      </c>
      <c r="B26" s="18" t="s">
        <v>554</v>
      </c>
      <c r="C26" s="18" t="s">
        <v>513</v>
      </c>
      <c r="D26" s="3">
        <v>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7" t="s">
        <v>555</v>
      </c>
      <c r="B27" s="18" t="s">
        <v>554</v>
      </c>
      <c r="C27" s="18" t="s">
        <v>513</v>
      </c>
      <c r="D27" s="3">
        <v>2.0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7" t="s">
        <v>556</v>
      </c>
      <c r="B28" s="18" t="s">
        <v>557</v>
      </c>
      <c r="C28" s="18" t="s">
        <v>513</v>
      </c>
      <c r="D28" s="3">
        <v>2.0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7" t="s">
        <v>558</v>
      </c>
      <c r="B29" s="18" t="s">
        <v>559</v>
      </c>
      <c r="C29" s="18" t="s">
        <v>513</v>
      </c>
      <c r="D29" s="3">
        <v>2.0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7" t="s">
        <v>560</v>
      </c>
      <c r="B30" s="18" t="s">
        <v>561</v>
      </c>
      <c r="C30" s="18" t="s">
        <v>513</v>
      </c>
      <c r="D30" s="3">
        <v>2.0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7" t="s">
        <v>562</v>
      </c>
      <c r="B31" s="18" t="s">
        <v>561</v>
      </c>
      <c r="C31" s="18" t="s">
        <v>513</v>
      </c>
      <c r="D31" s="3">
        <v>2.0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7" t="s">
        <v>563</v>
      </c>
      <c r="B32" s="18" t="s">
        <v>561</v>
      </c>
      <c r="C32" s="18" t="s">
        <v>513</v>
      </c>
      <c r="D32" s="3">
        <v>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7" t="s">
        <v>564</v>
      </c>
      <c r="B33" s="18" t="s">
        <v>565</v>
      </c>
      <c r="C33" s="18" t="s">
        <v>513</v>
      </c>
      <c r="D33" s="3">
        <v>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7" t="s">
        <v>566</v>
      </c>
      <c r="B34" s="18" t="s">
        <v>565</v>
      </c>
      <c r="C34" s="18" t="s">
        <v>513</v>
      </c>
      <c r="D34" s="3">
        <v>2.0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7" t="s">
        <v>567</v>
      </c>
      <c r="B35" s="18" t="s">
        <v>565</v>
      </c>
      <c r="C35" s="18" t="s">
        <v>513</v>
      </c>
      <c r="D35" s="3">
        <v>2.0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7" t="s">
        <v>568</v>
      </c>
      <c r="B36" s="18" t="s">
        <v>565</v>
      </c>
      <c r="C36" s="18" t="s">
        <v>513</v>
      </c>
      <c r="D36" s="3">
        <v>2.0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7" t="s">
        <v>541</v>
      </c>
      <c r="B37" s="18" t="s">
        <v>542</v>
      </c>
      <c r="C37" s="18" t="s">
        <v>513</v>
      </c>
      <c r="D37" s="3">
        <v>1.0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7" t="s">
        <v>569</v>
      </c>
      <c r="B38" s="18" t="s">
        <v>570</v>
      </c>
      <c r="C38" s="18" t="s">
        <v>513</v>
      </c>
      <c r="D38" s="3">
        <v>2.0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7" t="s">
        <v>571</v>
      </c>
      <c r="B39" s="18" t="s">
        <v>572</v>
      </c>
      <c r="C39" s="18" t="s">
        <v>513</v>
      </c>
      <c r="D39" s="3">
        <v>2.0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7" t="s">
        <v>573</v>
      </c>
      <c r="B40" s="18" t="s">
        <v>572</v>
      </c>
      <c r="C40" s="18" t="s">
        <v>513</v>
      </c>
      <c r="D40" s="3">
        <v>2.0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7" t="s">
        <v>574</v>
      </c>
      <c r="B41" s="18" t="s">
        <v>575</v>
      </c>
      <c r="C41" s="18" t="s">
        <v>513</v>
      </c>
      <c r="D41" s="3">
        <v>2.0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7" t="s">
        <v>576</v>
      </c>
      <c r="B42" s="18" t="s">
        <v>515</v>
      </c>
      <c r="C42" s="18" t="s">
        <v>513</v>
      </c>
      <c r="D42" s="3">
        <v>2.0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7" t="s">
        <v>577</v>
      </c>
      <c r="B43" s="18" t="s">
        <v>515</v>
      </c>
      <c r="C43" s="18" t="s">
        <v>513</v>
      </c>
      <c r="D43" s="3">
        <v>2.0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7" t="s">
        <v>578</v>
      </c>
      <c r="B44" s="18" t="s">
        <v>579</v>
      </c>
      <c r="C44" s="18" t="s">
        <v>513</v>
      </c>
      <c r="D44" s="3">
        <v>1.0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7" t="s">
        <v>580</v>
      </c>
      <c r="B45" s="18" t="s">
        <v>579</v>
      </c>
      <c r="C45" s="18" t="s">
        <v>513</v>
      </c>
      <c r="D45" s="3">
        <v>1.0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7" t="s">
        <v>581</v>
      </c>
      <c r="B46" s="18" t="s">
        <v>582</v>
      </c>
      <c r="C46" s="18" t="s">
        <v>513</v>
      </c>
      <c r="D46" s="3">
        <v>2.0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7" t="s">
        <v>583</v>
      </c>
      <c r="B47" s="18" t="s">
        <v>582</v>
      </c>
      <c r="C47" s="18" t="s">
        <v>513</v>
      </c>
      <c r="D47" s="3">
        <v>2.0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7" t="s">
        <v>584</v>
      </c>
      <c r="B48" s="18" t="s">
        <v>582</v>
      </c>
      <c r="C48" s="18" t="s">
        <v>513</v>
      </c>
      <c r="D48" s="3">
        <v>2.0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7" t="s">
        <v>585</v>
      </c>
      <c r="B49" s="18" t="s">
        <v>586</v>
      </c>
      <c r="C49" s="18" t="s">
        <v>513</v>
      </c>
      <c r="D49" s="3">
        <v>2.0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5.33"/>
    <col customWidth="1" min="2" max="2" width="12.22"/>
    <col customWidth="1" min="6" max="6" width="16.56"/>
    <col customWidth="1" min="7" max="7" width="35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 t="s">
        <v>67</v>
      </c>
      <c r="B2" s="2" t="s">
        <v>68</v>
      </c>
      <c r="C2" s="3" t="s">
        <v>69</v>
      </c>
      <c r="D2" s="3" t="s">
        <v>70</v>
      </c>
      <c r="E2" s="3" t="s">
        <v>71</v>
      </c>
      <c r="F2" s="3" t="s">
        <v>46</v>
      </c>
      <c r="G2" s="7" t="s">
        <v>72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 t="s">
        <v>73</v>
      </c>
      <c r="B3" s="2" t="s">
        <v>68</v>
      </c>
      <c r="C3" s="3" t="s">
        <v>69</v>
      </c>
      <c r="D3" s="3" t="s">
        <v>70</v>
      </c>
      <c r="E3" s="3" t="s">
        <v>71</v>
      </c>
      <c r="F3" s="3" t="s">
        <v>46</v>
      </c>
      <c r="G3" s="7" t="s">
        <v>74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 t="s">
        <v>75</v>
      </c>
      <c r="B4" s="2" t="s">
        <v>76</v>
      </c>
      <c r="C4" s="3" t="s">
        <v>77</v>
      </c>
      <c r="D4" s="3" t="s">
        <v>70</v>
      </c>
      <c r="E4" s="3" t="s">
        <v>71</v>
      </c>
      <c r="F4" s="3" t="s">
        <v>46</v>
      </c>
      <c r="G4" s="8" t="s">
        <v>78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 t="s">
        <v>79</v>
      </c>
      <c r="B5" s="2" t="s">
        <v>80</v>
      </c>
      <c r="C5" s="3" t="s">
        <v>77</v>
      </c>
      <c r="D5" s="3" t="s">
        <v>70</v>
      </c>
      <c r="E5" s="3" t="s">
        <v>71</v>
      </c>
      <c r="F5" s="3" t="s">
        <v>46</v>
      </c>
      <c r="G5" s="8" t="s">
        <v>81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82</v>
      </c>
      <c r="B6" s="2" t="s">
        <v>83</v>
      </c>
      <c r="C6" s="3" t="s">
        <v>84</v>
      </c>
      <c r="D6" s="3" t="s">
        <v>70</v>
      </c>
      <c r="E6" s="3" t="s">
        <v>71</v>
      </c>
      <c r="F6" s="3" t="s">
        <v>46</v>
      </c>
      <c r="G6" s="8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" t="s">
        <v>86</v>
      </c>
      <c r="B7" s="2" t="s">
        <v>83</v>
      </c>
      <c r="C7" s="3" t="s">
        <v>84</v>
      </c>
      <c r="D7" s="3" t="s">
        <v>70</v>
      </c>
      <c r="E7" s="3" t="s">
        <v>71</v>
      </c>
      <c r="F7" s="3" t="s">
        <v>46</v>
      </c>
      <c r="G7" s="8" t="s">
        <v>87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" t="s">
        <v>88</v>
      </c>
      <c r="B8" s="2" t="s">
        <v>89</v>
      </c>
      <c r="C8" s="3" t="s">
        <v>84</v>
      </c>
      <c r="D8" s="3" t="s">
        <v>70</v>
      </c>
      <c r="E8" s="3" t="s">
        <v>71</v>
      </c>
      <c r="F8" s="3" t="s">
        <v>46</v>
      </c>
      <c r="G8" s="8" t="s">
        <v>90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" t="s">
        <v>91</v>
      </c>
      <c r="B9" s="2" t="s">
        <v>89</v>
      </c>
      <c r="C9" s="3" t="s">
        <v>84</v>
      </c>
      <c r="D9" s="3" t="s">
        <v>70</v>
      </c>
      <c r="E9" s="3" t="s">
        <v>71</v>
      </c>
      <c r="F9" s="3" t="s">
        <v>46</v>
      </c>
      <c r="G9" s="8" t="s">
        <v>92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" t="s">
        <v>93</v>
      </c>
      <c r="B10" s="2" t="s">
        <v>89</v>
      </c>
      <c r="C10" s="3" t="s">
        <v>84</v>
      </c>
      <c r="D10" s="3" t="s">
        <v>70</v>
      </c>
      <c r="E10" s="3" t="s">
        <v>71</v>
      </c>
      <c r="F10" s="3" t="s">
        <v>46</v>
      </c>
      <c r="G10" s="8" t="s">
        <v>94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" t="s">
        <v>95</v>
      </c>
      <c r="B11" s="2" t="s">
        <v>96</v>
      </c>
      <c r="C11" s="3" t="s">
        <v>97</v>
      </c>
      <c r="D11" s="3" t="s">
        <v>70</v>
      </c>
      <c r="E11" s="3" t="s">
        <v>71</v>
      </c>
      <c r="F11" s="3" t="s">
        <v>46</v>
      </c>
      <c r="G11" s="8" t="s">
        <v>98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 t="s">
        <v>99</v>
      </c>
      <c r="B12" s="2" t="s">
        <v>100</v>
      </c>
      <c r="C12" s="3" t="s">
        <v>101</v>
      </c>
      <c r="D12" s="3" t="s">
        <v>102</v>
      </c>
      <c r="E12" s="3" t="s">
        <v>71</v>
      </c>
      <c r="F12" s="3" t="s">
        <v>46</v>
      </c>
      <c r="G12" s="8" t="s">
        <v>103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2.33"/>
    <col customWidth="1" min="7" max="7" width="40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" t="s">
        <v>104</v>
      </c>
      <c r="B2" s="3" t="str">
        <f>IFERROR(__xludf.DUMMYFUNCTION("regexextract(A2,""[\w]*"")"),"Macrobrachium")</f>
        <v>Macrobrachium</v>
      </c>
      <c r="C2" s="2" t="s">
        <v>105</v>
      </c>
      <c r="D2" s="2" t="s">
        <v>106</v>
      </c>
      <c r="E2" s="2" t="s">
        <v>107</v>
      </c>
      <c r="F2" s="2" t="s">
        <v>46</v>
      </c>
      <c r="G2" s="3" t="s">
        <v>108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 t="s">
        <v>109</v>
      </c>
      <c r="B3" s="3" t="str">
        <f>IFERROR(__xludf.DUMMYFUNCTION("regexextract(A3,""[\w]*"")"),"Macrobrachium")</f>
        <v>Macrobrachium</v>
      </c>
      <c r="C3" s="2" t="s">
        <v>105</v>
      </c>
      <c r="D3" s="2" t="s">
        <v>106</v>
      </c>
      <c r="E3" s="2" t="s">
        <v>107</v>
      </c>
      <c r="F3" s="2" t="s">
        <v>46</v>
      </c>
      <c r="G3" s="3" t="s">
        <v>110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tr">
        <f>IFERROR(__xludf.DUMMYFUNCTION("regexextract(G4,""[\w]* [\w]*"")"),"Macrobrachium rude")</f>
        <v>Macrobrachium rude</v>
      </c>
      <c r="B4" s="3" t="str">
        <f>IFERROR(__xludf.DUMMYFUNCTION("regexextract(A4,""[\w]*"")"),"Macrobrachium")</f>
        <v>Macrobrachium</v>
      </c>
      <c r="C4" s="2" t="s">
        <v>105</v>
      </c>
      <c r="D4" s="2" t="s">
        <v>106</v>
      </c>
      <c r="E4" s="2" t="s">
        <v>107</v>
      </c>
      <c r="F4" s="2" t="s">
        <v>46</v>
      </c>
      <c r="G4" s="3" t="s"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tr">
        <f>IFERROR(__xludf.DUMMYFUNCTION("regexextract(G5,""[\w]* [\w]*"")"),"Macrobrachium equidens")</f>
        <v>Macrobrachium equidens</v>
      </c>
      <c r="B5" s="3" t="str">
        <f>IFERROR(__xludf.DUMMYFUNCTION("regexextract(A5,""[\w]*"")"),"Macrobrachium")</f>
        <v>Macrobrachium</v>
      </c>
      <c r="C5" s="2" t="s">
        <v>105</v>
      </c>
      <c r="D5" s="2" t="s">
        <v>106</v>
      </c>
      <c r="E5" s="2" t="s">
        <v>107</v>
      </c>
      <c r="F5" s="2" t="s">
        <v>46</v>
      </c>
      <c r="G5" s="3" t="s">
        <v>112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6" max="6" width="36.6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6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113</v>
      </c>
      <c r="B2" s="2" t="s">
        <v>114</v>
      </c>
      <c r="C2" s="4" t="s">
        <v>115</v>
      </c>
      <c r="D2" s="4" t="s">
        <v>116</v>
      </c>
      <c r="E2" s="3" t="s">
        <v>117</v>
      </c>
      <c r="F2" s="8" t="s">
        <v>118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119</v>
      </c>
      <c r="B3" s="4" t="s">
        <v>120</v>
      </c>
      <c r="C3" s="3" t="s">
        <v>121</v>
      </c>
      <c r="D3" s="4" t="s">
        <v>116</v>
      </c>
      <c r="E3" s="3" t="s">
        <v>117</v>
      </c>
      <c r="F3" s="8" t="s">
        <v>122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123</v>
      </c>
      <c r="B4" s="4" t="s">
        <v>124</v>
      </c>
      <c r="C4" s="3" t="s">
        <v>121</v>
      </c>
      <c r="D4" s="4" t="s">
        <v>116</v>
      </c>
      <c r="E4" s="3" t="s">
        <v>117</v>
      </c>
      <c r="F4" s="8" t="s">
        <v>125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126</v>
      </c>
      <c r="B5" s="4" t="s">
        <v>127</v>
      </c>
      <c r="C5" s="3" t="s">
        <v>128</v>
      </c>
      <c r="D5" s="4" t="s">
        <v>116</v>
      </c>
      <c r="E5" s="3" t="s">
        <v>117</v>
      </c>
      <c r="F5" s="8" t="s">
        <v>129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130</v>
      </c>
      <c r="B6" s="4" t="s">
        <v>131</v>
      </c>
      <c r="C6" s="3" t="s">
        <v>128</v>
      </c>
      <c r="D6" s="4" t="s">
        <v>116</v>
      </c>
      <c r="E6" s="3" t="s">
        <v>117</v>
      </c>
      <c r="F6" s="8" t="s">
        <v>132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 t="s">
        <v>133</v>
      </c>
      <c r="B7" s="4" t="s">
        <v>134</v>
      </c>
      <c r="C7" s="3" t="s">
        <v>135</v>
      </c>
      <c r="D7" s="4" t="s">
        <v>116</v>
      </c>
      <c r="E7" s="3" t="s">
        <v>117</v>
      </c>
      <c r="F7" s="8" t="s">
        <v>136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 t="s">
        <v>137</v>
      </c>
      <c r="B8" s="4" t="s">
        <v>138</v>
      </c>
      <c r="C8" s="3" t="s">
        <v>135</v>
      </c>
      <c r="D8" s="4" t="s">
        <v>116</v>
      </c>
      <c r="E8" s="3" t="s">
        <v>117</v>
      </c>
      <c r="F8" s="8" t="s">
        <v>139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 t="s">
        <v>140</v>
      </c>
      <c r="B9" s="4" t="s">
        <v>141</v>
      </c>
      <c r="C9" s="3" t="s">
        <v>142</v>
      </c>
      <c r="D9" s="4" t="s">
        <v>116</v>
      </c>
      <c r="E9" s="3" t="s">
        <v>117</v>
      </c>
      <c r="F9" s="8" t="s">
        <v>143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 t="s">
        <v>144</v>
      </c>
      <c r="B10" s="4" t="s">
        <v>145</v>
      </c>
      <c r="C10" s="3" t="s">
        <v>142</v>
      </c>
      <c r="D10" s="4" t="s">
        <v>116</v>
      </c>
      <c r="E10" s="3" t="s">
        <v>117</v>
      </c>
      <c r="F10" s="8" t="s">
        <v>146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 t="s">
        <v>147</v>
      </c>
      <c r="B11" s="4" t="s">
        <v>148</v>
      </c>
      <c r="C11" s="3" t="s">
        <v>149</v>
      </c>
      <c r="D11" s="4" t="s">
        <v>116</v>
      </c>
      <c r="E11" s="3" t="s">
        <v>117</v>
      </c>
      <c r="F11" s="8" t="s">
        <v>150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 t="s">
        <v>151</v>
      </c>
      <c r="B12" s="4" t="s">
        <v>148</v>
      </c>
      <c r="C12" s="3" t="s">
        <v>149</v>
      </c>
      <c r="D12" s="4" t="s">
        <v>116</v>
      </c>
      <c r="E12" s="3" t="s">
        <v>117</v>
      </c>
      <c r="F12" s="8" t="s">
        <v>152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 t="s">
        <v>153</v>
      </c>
      <c r="B13" s="4" t="s">
        <v>148</v>
      </c>
      <c r="C13" s="3" t="s">
        <v>149</v>
      </c>
      <c r="D13" s="4" t="s">
        <v>116</v>
      </c>
      <c r="E13" s="3" t="s">
        <v>117</v>
      </c>
      <c r="F13" s="8" t="s">
        <v>154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 t="s">
        <v>155</v>
      </c>
      <c r="B14" s="4" t="s">
        <v>156</v>
      </c>
      <c r="C14" s="3" t="s">
        <v>157</v>
      </c>
      <c r="D14" s="4" t="s">
        <v>116</v>
      </c>
      <c r="E14" s="3" t="s">
        <v>117</v>
      </c>
      <c r="F14" s="8" t="s">
        <v>158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33"/>
    <col customWidth="1" min="3" max="3" width="13.89"/>
    <col customWidth="1" min="4" max="4" width="18.78"/>
    <col customWidth="1" min="7" max="7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</row>
    <row r="2">
      <c r="A2" s="4" t="str">
        <f>IFERROR(__xludf.DUMMYFUNCTION("regexextract(G2,""[\w]* [\w]*"")"),"Parambassis baculis")</f>
        <v>Parambassis baculis</v>
      </c>
      <c r="B2" s="3" t="str">
        <f>IFERROR(__xludf.DUMMYFUNCTION("regexextract(A2,""[\w]*"")"),"Parambassis")</f>
        <v>Parambassis</v>
      </c>
      <c r="C2" s="2" t="s">
        <v>159</v>
      </c>
      <c r="D2" s="2" t="s">
        <v>160</v>
      </c>
      <c r="E2" s="2" t="s">
        <v>161</v>
      </c>
      <c r="F2" s="2" t="s">
        <v>162</v>
      </c>
      <c r="G2" s="3" t="s">
        <v>163</v>
      </c>
    </row>
    <row r="3">
      <c r="A3" s="4" t="str">
        <f>IFERROR(__xludf.DUMMYFUNCTION("regexextract(G3,""[\w]* [\w]*"")"),"Aplocheilus panchax")</f>
        <v>Aplocheilus panchax</v>
      </c>
      <c r="B3" s="3" t="str">
        <f>IFERROR(__xludf.DUMMYFUNCTION("regexextract(A3,""[\w]*"")"),"Aplocheilus")</f>
        <v>Aplocheilus</v>
      </c>
      <c r="C3" s="2" t="s">
        <v>164</v>
      </c>
      <c r="D3" s="3" t="s">
        <v>165</v>
      </c>
      <c r="E3" s="2" t="s">
        <v>161</v>
      </c>
      <c r="F3" s="2" t="s">
        <v>162</v>
      </c>
      <c r="G3" s="3" t="s">
        <v>166</v>
      </c>
    </row>
    <row r="4">
      <c r="A4" s="4" t="str">
        <f>IFERROR(__xludf.DUMMYFUNCTION("regexextract(G4,""[\w]* [\w]*"")"),"Netuma thalassina")</f>
        <v>Netuma thalassina</v>
      </c>
      <c r="B4" s="3" t="str">
        <f>IFERROR(__xludf.DUMMYFUNCTION("regexextract(A4,""[\w]*"")"),"Netuma")</f>
        <v>Netuma</v>
      </c>
      <c r="C4" s="3" t="s">
        <v>167</v>
      </c>
      <c r="D4" s="3" t="s">
        <v>168</v>
      </c>
      <c r="E4" s="2" t="s">
        <v>161</v>
      </c>
      <c r="F4" s="2" t="s">
        <v>162</v>
      </c>
      <c r="G4" s="3" t="s">
        <v>169</v>
      </c>
    </row>
    <row r="5">
      <c r="A5" s="4" t="str">
        <f>IFERROR(__xludf.DUMMYFUNCTION("regexextract(G5,""[\w]* [\w]*"")"),"Badis badis")</f>
        <v>Badis badis</v>
      </c>
      <c r="B5" s="3" t="str">
        <f>IFERROR(__xludf.DUMMYFUNCTION("regexextract(A5,""[\w]*"")"),"Badis")</f>
        <v>Badis</v>
      </c>
      <c r="C5" s="3" t="s">
        <v>170</v>
      </c>
      <c r="D5" s="3" t="s">
        <v>171</v>
      </c>
      <c r="E5" s="2" t="s">
        <v>161</v>
      </c>
      <c r="F5" s="2" t="s">
        <v>162</v>
      </c>
      <c r="G5" s="9" t="s">
        <v>172</v>
      </c>
    </row>
    <row r="6">
      <c r="A6" s="4" t="str">
        <f>IFERROR(__xludf.DUMMYFUNCTION("regexextract(G6,""[\w]* [\w]*"")"),"Mystus tengara")</f>
        <v>Mystus tengara</v>
      </c>
      <c r="B6" s="3" t="str">
        <f>IFERROR(__xludf.DUMMYFUNCTION("regexextract(A6,""[\w]*"")"),"Mystus")</f>
        <v>Mystus</v>
      </c>
      <c r="C6" s="3" t="s">
        <v>173</v>
      </c>
      <c r="D6" s="3" t="s">
        <v>168</v>
      </c>
      <c r="E6" s="2" t="s">
        <v>161</v>
      </c>
      <c r="F6" s="2" t="s">
        <v>162</v>
      </c>
      <c r="G6" s="9" t="s">
        <v>174</v>
      </c>
    </row>
    <row r="7">
      <c r="A7" s="4" t="str">
        <f>IFERROR(__xludf.DUMMYFUNCTION("regexextract(G7,""[\w]* [\w]*"")"),"Mystus vittatus")</f>
        <v>Mystus vittatus</v>
      </c>
      <c r="B7" s="3" t="str">
        <f>IFERROR(__xludf.DUMMYFUNCTION("regexextract(A7,""[\w]*"")"),"Mystus")</f>
        <v>Mystus</v>
      </c>
      <c r="C7" s="3" t="s">
        <v>173</v>
      </c>
      <c r="D7" s="3" t="s">
        <v>168</v>
      </c>
      <c r="E7" s="2" t="s">
        <v>161</v>
      </c>
      <c r="F7" s="2" t="s">
        <v>162</v>
      </c>
      <c r="G7" s="9" t="s">
        <v>175</v>
      </c>
    </row>
    <row r="8">
      <c r="A8" s="4" t="str">
        <f>IFERROR(__xludf.DUMMYFUNCTION("regexextract(G8,""[\w]* [\w]*"")"),"Xenentodon cancila")</f>
        <v>Xenentodon cancila</v>
      </c>
      <c r="B8" s="3" t="str">
        <f>IFERROR(__xludf.DUMMYFUNCTION("regexextract(A8,""[\w]*"")"),"Xenentodon")</f>
        <v>Xenentodon</v>
      </c>
      <c r="C8" s="3" t="s">
        <v>176</v>
      </c>
      <c r="D8" s="3" t="s">
        <v>177</v>
      </c>
      <c r="E8" s="2" t="s">
        <v>161</v>
      </c>
      <c r="F8" s="2" t="s">
        <v>162</v>
      </c>
      <c r="G8" s="9" t="s">
        <v>178</v>
      </c>
    </row>
    <row r="9">
      <c r="A9" s="4" t="str">
        <f>IFERROR(__xludf.DUMMYFUNCTION("regexextract(G9,""[\w]* [\w]*"")"),"Channa punctate")</f>
        <v>Channa punctate</v>
      </c>
      <c r="B9" s="3" t="str">
        <f>IFERROR(__xludf.DUMMYFUNCTION("regexextract(A9,""[\w]*"")"),"Channa")</f>
        <v>Channa</v>
      </c>
      <c r="C9" s="3" t="s">
        <v>179</v>
      </c>
      <c r="D9" s="3" t="s">
        <v>171</v>
      </c>
      <c r="E9" s="2" t="s">
        <v>161</v>
      </c>
      <c r="F9" s="2" t="s">
        <v>162</v>
      </c>
      <c r="G9" s="9" t="s">
        <v>180</v>
      </c>
    </row>
    <row r="10">
      <c r="A10" s="4" t="str">
        <f>IFERROR(__xludf.DUMMYFUNCTION("regexextract(G10,""[\w]* [\w]*"")"),"Channa striata")</f>
        <v>Channa striata</v>
      </c>
      <c r="B10" s="3" t="str">
        <f>IFERROR(__xludf.DUMMYFUNCTION("regexextract(A10,""[\w]*"")"),"Channa")</f>
        <v>Channa</v>
      </c>
      <c r="C10" s="3" t="s">
        <v>179</v>
      </c>
      <c r="D10" s="3" t="s">
        <v>171</v>
      </c>
      <c r="E10" s="2" t="s">
        <v>161</v>
      </c>
      <c r="F10" s="2" t="s">
        <v>162</v>
      </c>
      <c r="G10" s="9" t="s">
        <v>181</v>
      </c>
    </row>
    <row r="11">
      <c r="A11" s="4" t="str">
        <f>IFERROR(__xludf.DUMMYFUNCTION("regexextract(G11,""[\w]* [\w]*"")"),"Channa gachua")</f>
        <v>Channa gachua</v>
      </c>
      <c r="B11" s="3" t="str">
        <f>IFERROR(__xludf.DUMMYFUNCTION("regexextract(A11,""[\w]*"")"),"Channa")</f>
        <v>Channa</v>
      </c>
      <c r="C11" s="3" t="s">
        <v>179</v>
      </c>
      <c r="D11" s="3" t="s">
        <v>171</v>
      </c>
      <c r="E11" s="2" t="s">
        <v>161</v>
      </c>
      <c r="F11" s="2" t="s">
        <v>162</v>
      </c>
      <c r="G11" s="9" t="s">
        <v>182</v>
      </c>
    </row>
    <row r="12">
      <c r="A12" s="4" t="str">
        <f>IFERROR(__xludf.DUMMYFUNCTION("regexextract(G12,""[\w]* [\w]*"")"),"Oreochromis niloticus")</f>
        <v>Oreochromis niloticus</v>
      </c>
      <c r="B12" s="3" t="str">
        <f>IFERROR(__xludf.DUMMYFUNCTION("regexextract(A12,""[\w]*"")"),"Oreochromis")</f>
        <v>Oreochromis</v>
      </c>
      <c r="C12" s="3" t="s">
        <v>183</v>
      </c>
      <c r="D12" s="3" t="s">
        <v>184</v>
      </c>
      <c r="E12" s="2" t="s">
        <v>161</v>
      </c>
      <c r="F12" s="2" t="s">
        <v>162</v>
      </c>
      <c r="G12" s="9" t="s">
        <v>185</v>
      </c>
    </row>
    <row r="13">
      <c r="A13" s="4" t="str">
        <f>IFERROR(__xludf.DUMMYFUNCTION("regexextract(G13,""[\w]* [\w]*"")"),"Puntius vittatus")</f>
        <v>Puntius vittatus</v>
      </c>
      <c r="B13" s="3" t="str">
        <f>IFERROR(__xludf.DUMMYFUNCTION("regexextract(A13,""[\w]*"")"),"Puntius")</f>
        <v>Puntius</v>
      </c>
      <c r="C13" s="3" t="s">
        <v>186</v>
      </c>
      <c r="D13" s="3" t="s">
        <v>187</v>
      </c>
      <c r="E13" s="2" t="s">
        <v>161</v>
      </c>
      <c r="F13" s="2" t="s">
        <v>162</v>
      </c>
      <c r="G13" s="9" t="s">
        <v>188</v>
      </c>
    </row>
    <row r="14">
      <c r="A14" s="4" t="str">
        <f>IFERROR(__xludf.DUMMYFUNCTION("regexextract(G14,""[\w]* [\w]*"")"),"Rasbora daniconius")</f>
        <v>Rasbora daniconius</v>
      </c>
      <c r="B14" s="3" t="str">
        <f>IFERROR(__xludf.DUMMYFUNCTION("regexextract(A14,""[\w]*"")"),"Rasbora")</f>
        <v>Rasbora</v>
      </c>
      <c r="C14" s="3" t="s">
        <v>189</v>
      </c>
      <c r="D14" s="3" t="s">
        <v>187</v>
      </c>
      <c r="E14" s="2" t="s">
        <v>161</v>
      </c>
      <c r="F14" s="2" t="s">
        <v>162</v>
      </c>
      <c r="G14" s="9" t="s">
        <v>190</v>
      </c>
    </row>
    <row r="15">
      <c r="A15" s="4" t="str">
        <f>IFERROR(__xludf.DUMMYFUNCTION("regexextract(G15,""[\w]* [\w]*"")"),"Pethia phutunio")</f>
        <v>Pethia phutunio</v>
      </c>
      <c r="B15" s="3" t="str">
        <f>IFERROR(__xludf.DUMMYFUNCTION("regexextract(A15,""[\w]*"")"),"Pethia")</f>
        <v>Pethia</v>
      </c>
      <c r="C15" s="3" t="s">
        <v>186</v>
      </c>
      <c r="D15" s="3" t="s">
        <v>187</v>
      </c>
      <c r="E15" s="2" t="s">
        <v>161</v>
      </c>
      <c r="F15" s="2" t="s">
        <v>162</v>
      </c>
      <c r="G15" s="9" t="s">
        <v>191</v>
      </c>
    </row>
    <row r="16">
      <c r="A16" s="4" t="str">
        <f>IFERROR(__xludf.DUMMYFUNCTION("regexextract(G16,""[\w]* [\w]*"")"),"Glossogobius giuris")</f>
        <v>Glossogobius giuris</v>
      </c>
      <c r="B16" s="3" t="str">
        <f>IFERROR(__xludf.DUMMYFUNCTION("regexextract(A16,""[\w]*"")"),"Glossogobius")</f>
        <v>Glossogobius</v>
      </c>
      <c r="C16" s="3" t="s">
        <v>192</v>
      </c>
      <c r="D16" s="3" t="s">
        <v>193</v>
      </c>
      <c r="E16" s="2" t="s">
        <v>161</v>
      </c>
      <c r="F16" s="2" t="s">
        <v>162</v>
      </c>
      <c r="G16" s="9" t="s">
        <v>194</v>
      </c>
    </row>
    <row r="17">
      <c r="A17" s="4" t="str">
        <f>IFERROR(__xludf.DUMMYFUNCTION("regexextract(G17,""[\w]* [\w]*"")"),"Heteropneustes fossilis")</f>
        <v>Heteropneustes fossilis</v>
      </c>
      <c r="B17" s="3" t="str">
        <f>IFERROR(__xludf.DUMMYFUNCTION("regexextract(A17,""[\w]*"")"),"Heteropneustes")</f>
        <v>Heteropneustes</v>
      </c>
      <c r="C17" s="3" t="s">
        <v>195</v>
      </c>
      <c r="D17" s="3" t="s">
        <v>168</v>
      </c>
      <c r="E17" s="2" t="s">
        <v>161</v>
      </c>
      <c r="F17" s="2" t="s">
        <v>162</v>
      </c>
      <c r="G17" s="9" t="s">
        <v>196</v>
      </c>
    </row>
    <row r="18">
      <c r="A18" s="4" t="str">
        <f>IFERROR(__xludf.DUMMYFUNCTION("regexextract(G18,""[\w]* [\w]*"")"),"Macrognathus pancalus")</f>
        <v>Macrognathus pancalus</v>
      </c>
      <c r="B18" s="3" t="str">
        <f>IFERROR(__xludf.DUMMYFUNCTION("regexextract(A18,""[\w]*"")"),"Macrognathus")</f>
        <v>Macrognathus</v>
      </c>
      <c r="C18" s="3" t="s">
        <v>197</v>
      </c>
      <c r="D18" s="3" t="s">
        <v>198</v>
      </c>
      <c r="E18" s="2" t="s">
        <v>161</v>
      </c>
      <c r="F18" s="2" t="s">
        <v>162</v>
      </c>
      <c r="G18" s="3" t="s">
        <v>199</v>
      </c>
    </row>
    <row r="19">
      <c r="A19" s="4" t="str">
        <f>IFERROR(__xludf.DUMMYFUNCTION("regexextract(G19,""[\w]* [\w]*"")"),"Mastacembelus armatus")</f>
        <v>Mastacembelus armatus</v>
      </c>
      <c r="B19" s="3" t="str">
        <f>IFERROR(__xludf.DUMMYFUNCTION("regexextract(A19,""[\w]*"")"),"Mastacembelus")</f>
        <v>Mastacembelus</v>
      </c>
      <c r="C19" s="3" t="s">
        <v>197</v>
      </c>
      <c r="D19" s="3" t="s">
        <v>198</v>
      </c>
      <c r="E19" s="2" t="s">
        <v>161</v>
      </c>
      <c r="F19" s="2" t="s">
        <v>162</v>
      </c>
      <c r="G19" s="10" t="s">
        <v>200</v>
      </c>
    </row>
    <row r="20">
      <c r="A20" s="4" t="str">
        <f>IFERROR(__xludf.DUMMYFUNCTION("regexextract(G20,""[\w]* [\w]*"")"),"Notopterus notopterus")</f>
        <v>Notopterus notopterus</v>
      </c>
      <c r="B20" s="3" t="str">
        <f>IFERROR(__xludf.DUMMYFUNCTION("regexextract(A20,""[\w]*"")"),"Notopterus")</f>
        <v>Notopterus</v>
      </c>
      <c r="C20" s="3" t="s">
        <v>201</v>
      </c>
      <c r="D20" s="3" t="s">
        <v>202</v>
      </c>
      <c r="E20" s="2" t="s">
        <v>161</v>
      </c>
      <c r="F20" s="2" t="s">
        <v>162</v>
      </c>
      <c r="G20" s="9" t="s">
        <v>203</v>
      </c>
    </row>
    <row r="21">
      <c r="A21" s="4" t="str">
        <f>IFERROR(__xludf.DUMMYFUNCTION("regexextract(G21,""[\w]* [\w]*"")"),"Trichogaster lalius")</f>
        <v>Trichogaster lalius</v>
      </c>
      <c r="B21" s="3" t="str">
        <f>IFERROR(__xludf.DUMMYFUNCTION("regexextract(A21,""[\w]*"")"),"Trichogaster")</f>
        <v>Trichogaster</v>
      </c>
      <c r="C21" s="3" t="s">
        <v>204</v>
      </c>
      <c r="D21" s="3" t="s">
        <v>171</v>
      </c>
      <c r="E21" s="2" t="s">
        <v>161</v>
      </c>
      <c r="F21" s="2" t="s">
        <v>162</v>
      </c>
      <c r="G21" s="9" t="s">
        <v>205</v>
      </c>
    </row>
    <row r="22">
      <c r="A22" s="4" t="str">
        <f>IFERROR(__xludf.DUMMYFUNCTION("regexextract(G22,""[\w]* [\w]*"")"),"Trichogaster fasciata")</f>
        <v>Trichogaster fasciata</v>
      </c>
      <c r="B22" s="3" t="str">
        <f>IFERROR(__xludf.DUMMYFUNCTION("regexextract(A22,""[\w]*"")"),"Trichogaster")</f>
        <v>Trichogaster</v>
      </c>
      <c r="C22" s="3" t="s">
        <v>204</v>
      </c>
      <c r="D22" s="3" t="s">
        <v>171</v>
      </c>
      <c r="E22" s="2" t="s">
        <v>161</v>
      </c>
      <c r="F22" s="2" t="s">
        <v>162</v>
      </c>
      <c r="G22" s="9" t="s">
        <v>206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</row>
    <row r="2">
      <c r="A2" s="4" t="str">
        <f>IFERROR(__xludf.DUMMYFUNCTION("regexextract(G2,""[\w]* [\w]*"")"),"Duttaphrynus melanostictus")</f>
        <v>Duttaphrynus melanostictus</v>
      </c>
      <c r="B2" s="4" t="str">
        <f>IFERROR(__xludf.DUMMYFUNCTION("regexextract(A2,""[\w]*"")"),"Duttaphrynus")</f>
        <v>Duttaphrynus</v>
      </c>
      <c r="C2" s="11" t="s">
        <v>207</v>
      </c>
      <c r="D2" s="11" t="s">
        <v>208</v>
      </c>
      <c r="E2" s="11" t="s">
        <v>209</v>
      </c>
      <c r="F2" s="3" t="s">
        <v>162</v>
      </c>
      <c r="G2" s="10" t="s">
        <v>210</v>
      </c>
    </row>
    <row r="3">
      <c r="A3" s="4" t="str">
        <f>IFERROR(__xludf.DUMMYFUNCTION("regexextract(G3,""[\w]* [\w]*"")"),"Duttaphrynus scaber")</f>
        <v>Duttaphrynus scaber</v>
      </c>
      <c r="B3" s="4" t="str">
        <f>IFERROR(__xludf.DUMMYFUNCTION("regexextract(A3,""[\w]*"")"),"Duttaphrynus")</f>
        <v>Duttaphrynus</v>
      </c>
      <c r="C3" s="11" t="s">
        <v>207</v>
      </c>
      <c r="D3" s="11" t="s">
        <v>208</v>
      </c>
      <c r="E3" s="11" t="s">
        <v>209</v>
      </c>
      <c r="F3" s="3" t="s">
        <v>162</v>
      </c>
      <c r="G3" s="10" t="s">
        <v>211</v>
      </c>
    </row>
    <row r="4">
      <c r="A4" s="4" t="str">
        <f>IFERROR(__xludf.DUMMYFUNCTION("regexextract(G4,""[\w]* [\w]*"")"),"Fejervarya orissaensis")</f>
        <v>Fejervarya orissaensis</v>
      </c>
      <c r="B4" s="4" t="str">
        <f>IFERROR(__xludf.DUMMYFUNCTION("regexextract(A4,""[\w]*"")"),"Fejervarya")</f>
        <v>Fejervarya</v>
      </c>
      <c r="C4" s="11" t="s">
        <v>212</v>
      </c>
      <c r="D4" s="11" t="s">
        <v>208</v>
      </c>
      <c r="E4" s="11" t="s">
        <v>209</v>
      </c>
      <c r="F4" s="3" t="s">
        <v>162</v>
      </c>
      <c r="G4" s="10" t="s">
        <v>213</v>
      </c>
    </row>
    <row r="5">
      <c r="A5" s="4" t="str">
        <f>IFERROR(__xludf.DUMMYFUNCTION("regexextract(G5,""[\w]* [\w]*"")"),"Minervarya agricola")</f>
        <v>Minervarya agricola</v>
      </c>
      <c r="B5" s="4" t="str">
        <f>IFERROR(__xludf.DUMMYFUNCTION("regexextract(A5,""[\w]*"")"),"Minervarya")</f>
        <v>Minervarya</v>
      </c>
      <c r="C5" s="11" t="s">
        <v>212</v>
      </c>
      <c r="D5" s="11" t="s">
        <v>208</v>
      </c>
      <c r="E5" s="11" t="s">
        <v>209</v>
      </c>
      <c r="F5" s="3" t="s">
        <v>162</v>
      </c>
      <c r="G5" s="10" t="s">
        <v>214</v>
      </c>
    </row>
    <row r="6">
      <c r="A6" s="4" t="str">
        <f>IFERROR(__xludf.DUMMYFUNCTION("regexextract(G6,""[\w]* [\w]*"")"),"Minervarya pierrei")</f>
        <v>Minervarya pierrei</v>
      </c>
      <c r="B6" s="4" t="str">
        <f>IFERROR(__xludf.DUMMYFUNCTION("regexextract(A6,""[\w]*"")"),"Minervarya")</f>
        <v>Minervarya</v>
      </c>
      <c r="C6" s="11" t="s">
        <v>212</v>
      </c>
      <c r="D6" s="11" t="s">
        <v>208</v>
      </c>
      <c r="E6" s="11" t="s">
        <v>209</v>
      </c>
      <c r="F6" s="3" t="s">
        <v>162</v>
      </c>
      <c r="G6" s="10" t="s">
        <v>215</v>
      </c>
    </row>
    <row r="7">
      <c r="A7" s="4" t="str">
        <f>IFERROR(__xludf.DUMMYFUNCTION("regexextract(G7,""[\w]* [\w]*"")"),"Euphlyctis cyanophlyctis")</f>
        <v>Euphlyctis cyanophlyctis</v>
      </c>
      <c r="B7" s="4" t="str">
        <f>IFERROR(__xludf.DUMMYFUNCTION("regexextract(A7,""[\w]*"")"),"Euphlyctis")</f>
        <v>Euphlyctis</v>
      </c>
      <c r="C7" s="11" t="s">
        <v>212</v>
      </c>
      <c r="D7" s="11" t="s">
        <v>208</v>
      </c>
      <c r="E7" s="11" t="s">
        <v>209</v>
      </c>
      <c r="F7" s="3" t="s">
        <v>162</v>
      </c>
      <c r="G7" s="10" t="s">
        <v>216</v>
      </c>
    </row>
    <row r="8">
      <c r="A8" s="4" t="str">
        <f>IFERROR(__xludf.DUMMYFUNCTION("regexextract(G8,""[\w]* [\w]*"")"),"Hoplobatrachus tigerinus")</f>
        <v>Hoplobatrachus tigerinus</v>
      </c>
      <c r="B8" s="4" t="str">
        <f>IFERROR(__xludf.DUMMYFUNCTION("regexextract(A8,""[\w]*"")"),"Hoplobatrachus")</f>
        <v>Hoplobatrachus</v>
      </c>
      <c r="C8" s="11" t="s">
        <v>212</v>
      </c>
      <c r="D8" s="11" t="s">
        <v>208</v>
      </c>
      <c r="E8" s="11" t="s">
        <v>209</v>
      </c>
      <c r="F8" s="3" t="s">
        <v>162</v>
      </c>
      <c r="G8" s="10" t="s">
        <v>217</v>
      </c>
    </row>
    <row r="9">
      <c r="A9" s="4" t="str">
        <f>IFERROR(__xludf.DUMMYFUNCTION("regexextract(G9,""[\w]* [\w]*"")"),"Hoplobatrachus crassus")</f>
        <v>Hoplobatrachus crassus</v>
      </c>
      <c r="B9" s="4" t="str">
        <f>IFERROR(__xludf.DUMMYFUNCTION("regexextract(A9,""[\w]*"")"),"Hoplobatrachus")</f>
        <v>Hoplobatrachus</v>
      </c>
      <c r="C9" s="11" t="s">
        <v>212</v>
      </c>
      <c r="D9" s="11" t="s">
        <v>208</v>
      </c>
      <c r="E9" s="11" t="s">
        <v>209</v>
      </c>
      <c r="F9" s="3" t="s">
        <v>162</v>
      </c>
      <c r="G9" s="10" t="s">
        <v>218</v>
      </c>
    </row>
    <row r="10">
      <c r="A10" s="4" t="str">
        <f>IFERROR(__xludf.DUMMYFUNCTION("regexextract(G10,""[\w]* [\w]*"")"),"Sphaerotheca breviceps")</f>
        <v>Sphaerotheca breviceps</v>
      </c>
      <c r="B10" s="4" t="str">
        <f>IFERROR(__xludf.DUMMYFUNCTION("regexextract(A10,""[\w]*"")"),"Sphaerotheca")</f>
        <v>Sphaerotheca</v>
      </c>
      <c r="C10" s="11" t="s">
        <v>212</v>
      </c>
      <c r="D10" s="11" t="s">
        <v>208</v>
      </c>
      <c r="E10" s="11" t="s">
        <v>209</v>
      </c>
      <c r="F10" s="3" t="s">
        <v>162</v>
      </c>
      <c r="G10" s="10" t="s">
        <v>219</v>
      </c>
    </row>
    <row r="11">
      <c r="A11" s="4" t="str">
        <f>IFERROR(__xludf.DUMMYFUNCTION("regexextract(G11,""[\w]* [\w]*"")"),"Sphaerotheca rolandae")</f>
        <v>Sphaerotheca rolandae</v>
      </c>
      <c r="B11" s="4" t="str">
        <f>IFERROR(__xludf.DUMMYFUNCTION("regexextract(A11,""[\w]*"")"),"Sphaerotheca")</f>
        <v>Sphaerotheca</v>
      </c>
      <c r="C11" s="11" t="s">
        <v>212</v>
      </c>
      <c r="D11" s="11" t="s">
        <v>208</v>
      </c>
      <c r="E11" s="11" t="s">
        <v>209</v>
      </c>
      <c r="F11" s="3" t="s">
        <v>162</v>
      </c>
      <c r="G11" s="10" t="s">
        <v>220</v>
      </c>
    </row>
    <row r="12">
      <c r="A12" s="4" t="str">
        <f>IFERROR(__xludf.DUMMYFUNCTION("regexextract(G12,""[\w]* [\w]*"")"),"Microhyla mymensinghensis")</f>
        <v>Microhyla mymensinghensis</v>
      </c>
      <c r="B12" s="4" t="str">
        <f>IFERROR(__xludf.DUMMYFUNCTION("regexextract(A12,""[\w]*"")"),"Microhyla")</f>
        <v>Microhyla</v>
      </c>
      <c r="C12" s="11" t="s">
        <v>221</v>
      </c>
      <c r="D12" s="11" t="s">
        <v>208</v>
      </c>
      <c r="E12" s="11" t="s">
        <v>209</v>
      </c>
      <c r="F12" s="3" t="s">
        <v>162</v>
      </c>
      <c r="G12" s="10" t="s">
        <v>222</v>
      </c>
    </row>
    <row r="13">
      <c r="A13" s="4" t="str">
        <f>IFERROR(__xludf.DUMMYFUNCTION("regexextract(G13,""[\w]* [\w]*"")"),"Uperodon systoma")</f>
        <v>Uperodon systoma</v>
      </c>
      <c r="B13" s="4" t="str">
        <f>IFERROR(__xludf.DUMMYFUNCTION("regexextract(A13,""[\w]*"")"),"Uperodon")</f>
        <v>Uperodon</v>
      </c>
      <c r="C13" s="11" t="s">
        <v>221</v>
      </c>
      <c r="D13" s="11" t="s">
        <v>208</v>
      </c>
      <c r="E13" s="11" t="s">
        <v>209</v>
      </c>
      <c r="F13" s="3" t="s">
        <v>162</v>
      </c>
      <c r="G13" s="10" t="s">
        <v>223</v>
      </c>
    </row>
    <row r="14">
      <c r="A14" s="4" t="str">
        <f>IFERROR(__xludf.DUMMYFUNCTION("regexextract(G14,""[\w]* [\w]*"")"),"Hylarana tytleri")</f>
        <v>Hylarana tytleri</v>
      </c>
      <c r="B14" s="4" t="str">
        <f>IFERROR(__xludf.DUMMYFUNCTION("regexextract(A14,""[\w]*"")"),"Hylarana")</f>
        <v>Hylarana</v>
      </c>
      <c r="C14" s="11" t="s">
        <v>224</v>
      </c>
      <c r="D14" s="11" t="s">
        <v>208</v>
      </c>
      <c r="E14" s="11" t="s">
        <v>209</v>
      </c>
      <c r="F14" s="3" t="s">
        <v>162</v>
      </c>
      <c r="G14" s="10" t="s">
        <v>225</v>
      </c>
    </row>
    <row r="15">
      <c r="A15" s="4" t="str">
        <f>IFERROR(__xludf.DUMMYFUNCTION("regexextract(G15,""[\w]* [\w]*"")"),"Polypedates maculatus")</f>
        <v>Polypedates maculatus</v>
      </c>
      <c r="B15" s="4" t="str">
        <f>IFERROR(__xludf.DUMMYFUNCTION("regexextract(A15,""[\w]*"")"),"Polypedates")</f>
        <v>Polypedates</v>
      </c>
      <c r="C15" s="11" t="s">
        <v>226</v>
      </c>
      <c r="D15" s="11" t="s">
        <v>208</v>
      </c>
      <c r="E15" s="11" t="s">
        <v>209</v>
      </c>
      <c r="F15" s="3" t="s">
        <v>162</v>
      </c>
      <c r="G15" s="10" t="s">
        <v>227</v>
      </c>
    </row>
    <row r="16">
      <c r="A16" s="4" t="str">
        <f>IFERROR(__xludf.DUMMYFUNCTION("regexextract(G16,""[\w]* [\w]*"")"),"Varanus bengalensis")</f>
        <v>Varanus bengalensis</v>
      </c>
      <c r="B16" s="4" t="str">
        <f>IFERROR(__xludf.DUMMYFUNCTION("regexextract(A16,""[\w]*"")"),"Varanus")</f>
        <v>Varanus</v>
      </c>
      <c r="C16" s="11" t="s">
        <v>228</v>
      </c>
      <c r="D16" s="11" t="s">
        <v>229</v>
      </c>
      <c r="E16" s="11" t="s">
        <v>230</v>
      </c>
      <c r="F16" s="3" t="s">
        <v>162</v>
      </c>
      <c r="G16" s="10" t="s">
        <v>231</v>
      </c>
    </row>
    <row r="17">
      <c r="A17" s="4" t="str">
        <f>IFERROR(__xludf.DUMMYFUNCTION("regexextract(G17,""[\w]* [\w]*"")"),"Calotes versicolor")</f>
        <v>Calotes versicolor</v>
      </c>
      <c r="B17" s="4" t="str">
        <f>IFERROR(__xludf.DUMMYFUNCTION("regexextract(A17,""[\w]*"")"),"Calotes")</f>
        <v>Calotes</v>
      </c>
      <c r="C17" s="11" t="s">
        <v>232</v>
      </c>
      <c r="D17" s="11" t="s">
        <v>229</v>
      </c>
      <c r="E17" s="11" t="s">
        <v>230</v>
      </c>
      <c r="F17" s="3" t="s">
        <v>162</v>
      </c>
      <c r="G17" s="10" t="s">
        <v>233</v>
      </c>
    </row>
    <row r="18">
      <c r="A18" s="4" t="str">
        <f>IFERROR(__xludf.DUMMYFUNCTION("regexextract(G18,""[\w]* [\w]*"")"),"Enhydris enhydris")</f>
        <v>Enhydris enhydris</v>
      </c>
      <c r="B18" s="4" t="str">
        <f>IFERROR(__xludf.DUMMYFUNCTION("regexextract(A18,""[\w]*"")"),"Enhydris")</f>
        <v>Enhydris</v>
      </c>
      <c r="C18" s="11" t="s">
        <v>234</v>
      </c>
      <c r="D18" s="11" t="s">
        <v>229</v>
      </c>
      <c r="E18" s="11" t="s">
        <v>230</v>
      </c>
      <c r="F18" s="3" t="s">
        <v>162</v>
      </c>
      <c r="G18" s="10" t="s">
        <v>235</v>
      </c>
    </row>
    <row r="19">
      <c r="A19" s="4" t="str">
        <f>IFERROR(__xludf.DUMMYFUNCTION("regexextract(G19,""[\w]* [\w]*"")"),"Fowlea piscator")</f>
        <v>Fowlea piscator</v>
      </c>
      <c r="B19" s="4" t="str">
        <f>IFERROR(__xludf.DUMMYFUNCTION("regexextract(A19,""[\w]*"")"),"Fowlea")</f>
        <v>Fowlea</v>
      </c>
      <c r="C19" s="11" t="s">
        <v>236</v>
      </c>
      <c r="D19" s="11" t="s">
        <v>229</v>
      </c>
      <c r="E19" s="11" t="s">
        <v>230</v>
      </c>
      <c r="F19" s="3" t="s">
        <v>162</v>
      </c>
      <c r="G19" s="10" t="s">
        <v>237</v>
      </c>
    </row>
    <row r="20">
      <c r="A20" s="4" t="str">
        <f>IFERROR(__xludf.DUMMYFUNCTION("regexextract(G20,""[\w]* [\w]*"")"),"Bungarus fasciatus")</f>
        <v>Bungarus fasciatus</v>
      </c>
      <c r="B20" s="4" t="str">
        <f>IFERROR(__xludf.DUMMYFUNCTION("regexextract(A20,""[\w]*"")"),"Bungarus")</f>
        <v>Bungarus</v>
      </c>
      <c r="C20" s="11" t="s">
        <v>238</v>
      </c>
      <c r="D20" s="11" t="s">
        <v>229</v>
      </c>
      <c r="E20" s="11" t="s">
        <v>230</v>
      </c>
      <c r="F20" s="3" t="s">
        <v>162</v>
      </c>
      <c r="G20" s="10" t="s">
        <v>239</v>
      </c>
    </row>
    <row r="21">
      <c r="A21" s="4" t="str">
        <f>IFERROR(__xludf.DUMMYFUNCTION("regexextract(G21,""[\w]* [\w]*"")"),"Naja naja")</f>
        <v>Naja naja</v>
      </c>
      <c r="B21" s="4" t="str">
        <f>IFERROR(__xludf.DUMMYFUNCTION("regexextract(A21,""[\w]*"")"),"Naja")</f>
        <v>Naja</v>
      </c>
      <c r="C21" s="11" t="s">
        <v>238</v>
      </c>
      <c r="D21" s="11" t="s">
        <v>229</v>
      </c>
      <c r="E21" s="11" t="s">
        <v>230</v>
      </c>
      <c r="F21" s="3" t="s">
        <v>162</v>
      </c>
      <c r="G21" s="12" t="s">
        <v>240</v>
      </c>
    </row>
    <row r="22">
      <c r="A22" s="4" t="str">
        <f>IFERROR(__xludf.DUMMYFUNCTION("regexextract(G22,""[\w]* [\w]*"")"),"Lissemys punctata")</f>
        <v>Lissemys punctata</v>
      </c>
      <c r="B22" s="4" t="str">
        <f>IFERROR(__xludf.DUMMYFUNCTION("regexextract(A22,""[\w]*"")"),"Lissemys")</f>
        <v>Lissemys</v>
      </c>
      <c r="C22" s="11" t="s">
        <v>241</v>
      </c>
      <c r="D22" s="11" t="s">
        <v>242</v>
      </c>
      <c r="E22" s="11" t="s">
        <v>230</v>
      </c>
      <c r="F22" s="3" t="s">
        <v>162</v>
      </c>
      <c r="G22" s="10" t="s">
        <v>243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5.33"/>
    <col customWidth="1" min="2" max="2" width="12.78"/>
    <col customWidth="1" min="3" max="3" width="14.11"/>
    <col customWidth="1" min="4" max="4" width="13.67"/>
    <col customWidth="1" min="7" max="7" width="41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3" t="s">
        <v>244</v>
      </c>
    </row>
    <row r="2">
      <c r="A2" s="4" t="str">
        <f>IFERROR(__xludf.DUMMYFUNCTION("regexextract(G2,""[\w]* [\w]*"")"),"Dendrocygna javanica")</f>
        <v>Dendrocygna javanica</v>
      </c>
      <c r="B2" s="3" t="str">
        <f>IFERROR(__xludf.DUMMYFUNCTION("regexextract(A2,""[\w]*"")"),"Dendrocygna")</f>
        <v>Dendrocygna</v>
      </c>
      <c r="C2" s="3" t="s">
        <v>245</v>
      </c>
      <c r="D2" s="3" t="s">
        <v>246</v>
      </c>
      <c r="E2" s="3" t="s">
        <v>247</v>
      </c>
      <c r="F2" s="3" t="s">
        <v>162</v>
      </c>
      <c r="G2" s="10" t="s">
        <v>248</v>
      </c>
      <c r="H2" s="3">
        <v>1.0</v>
      </c>
    </row>
    <row r="3">
      <c r="A3" s="4" t="str">
        <f>IFERROR(__xludf.DUMMYFUNCTION("regexextract(G3,""[\w]* [\w]*"")"),"Tadorna ferruginea")</f>
        <v>Tadorna ferruginea</v>
      </c>
      <c r="B3" s="3" t="str">
        <f>IFERROR(__xludf.DUMMYFUNCTION("regexextract(A3,""[\w]*"")"),"Tadorna")</f>
        <v>Tadorna</v>
      </c>
      <c r="C3" s="3" t="s">
        <v>245</v>
      </c>
      <c r="D3" s="3" t="s">
        <v>246</v>
      </c>
      <c r="E3" s="3" t="s">
        <v>247</v>
      </c>
      <c r="F3" s="3" t="s">
        <v>162</v>
      </c>
      <c r="G3" s="10" t="s">
        <v>249</v>
      </c>
      <c r="H3" s="3">
        <v>1.0</v>
      </c>
    </row>
    <row r="4">
      <c r="A4" s="4" t="str">
        <f>IFERROR(__xludf.DUMMYFUNCTION("regexextract(G4,""[\w]* [\w]*"")"),"Nettapus coromandelianus")</f>
        <v>Nettapus coromandelianus</v>
      </c>
      <c r="B4" s="3" t="str">
        <f>IFERROR(__xludf.DUMMYFUNCTION("regexextract(A4,""[\w]*"")"),"Nettapus")</f>
        <v>Nettapus</v>
      </c>
      <c r="C4" s="3" t="s">
        <v>245</v>
      </c>
      <c r="D4" s="3" t="s">
        <v>246</v>
      </c>
      <c r="E4" s="3" t="s">
        <v>247</v>
      </c>
      <c r="F4" s="3" t="s">
        <v>162</v>
      </c>
      <c r="G4" s="10" t="s">
        <v>250</v>
      </c>
      <c r="H4" s="3">
        <v>1.0</v>
      </c>
    </row>
    <row r="5">
      <c r="A5" s="4" t="str">
        <f>IFERROR(__xludf.DUMMYFUNCTION("regexextract(G5,""[\w]* [\w]*"")"),"Spatula querquedula")</f>
        <v>Spatula querquedula</v>
      </c>
      <c r="B5" s="3" t="str">
        <f>IFERROR(__xludf.DUMMYFUNCTION("regexextract(A5,""[\w]*"")"),"Spatula")</f>
        <v>Spatula</v>
      </c>
      <c r="C5" s="3" t="s">
        <v>245</v>
      </c>
      <c r="D5" s="3" t="s">
        <v>246</v>
      </c>
      <c r="E5" s="3" t="s">
        <v>247</v>
      </c>
      <c r="F5" s="3" t="s">
        <v>162</v>
      </c>
      <c r="G5" s="14" t="s">
        <v>251</v>
      </c>
      <c r="H5" s="3">
        <v>1.0</v>
      </c>
    </row>
    <row r="6">
      <c r="A6" s="4" t="str">
        <f>IFERROR(__xludf.DUMMYFUNCTION("regexextract(G6,""[\w]* [\w]*"")"),"Anas poecilorhyncha")</f>
        <v>Anas poecilorhyncha</v>
      </c>
      <c r="B6" s="3" t="str">
        <f>IFERROR(__xludf.DUMMYFUNCTION("regexextract(A6,""[\w]*"")"),"Anas")</f>
        <v>Anas</v>
      </c>
      <c r="C6" s="3" t="s">
        <v>245</v>
      </c>
      <c r="D6" s="3" t="s">
        <v>246</v>
      </c>
      <c r="E6" s="3" t="s">
        <v>247</v>
      </c>
      <c r="F6" s="3" t="s">
        <v>162</v>
      </c>
      <c r="G6" s="10" t="s">
        <v>252</v>
      </c>
      <c r="H6" s="3">
        <v>1.0</v>
      </c>
    </row>
    <row r="7">
      <c r="A7" s="4" t="str">
        <f>IFERROR(__xludf.DUMMYFUNCTION("regexextract(G7,""[\w]* [\w]*"")"),"Anas acuta")</f>
        <v>Anas acuta</v>
      </c>
      <c r="B7" s="3" t="str">
        <f>IFERROR(__xludf.DUMMYFUNCTION("regexextract(A7,""[\w]*"")"),"Anas")</f>
        <v>Anas</v>
      </c>
      <c r="C7" s="3" t="s">
        <v>245</v>
      </c>
      <c r="D7" s="3" t="s">
        <v>246</v>
      </c>
      <c r="E7" s="3" t="s">
        <v>247</v>
      </c>
      <c r="F7" s="3" t="s">
        <v>162</v>
      </c>
      <c r="G7" s="10" t="s">
        <v>253</v>
      </c>
      <c r="H7" s="3">
        <v>1.0</v>
      </c>
    </row>
    <row r="8">
      <c r="A8" s="4" t="str">
        <f>IFERROR(__xludf.DUMMYFUNCTION("regexextract(G8,""[\w]* [\w]*"")"),"Netta rufina")</f>
        <v>Netta rufina</v>
      </c>
      <c r="B8" s="3" t="str">
        <f>IFERROR(__xludf.DUMMYFUNCTION("regexextract(A8,""[\w]*"")"),"Netta")</f>
        <v>Netta</v>
      </c>
      <c r="C8" s="3" t="s">
        <v>245</v>
      </c>
      <c r="D8" s="3" t="s">
        <v>246</v>
      </c>
      <c r="E8" s="3" t="s">
        <v>247</v>
      </c>
      <c r="F8" s="3" t="s">
        <v>162</v>
      </c>
      <c r="G8" s="10" t="s">
        <v>254</v>
      </c>
      <c r="H8" s="3">
        <v>1.0</v>
      </c>
    </row>
    <row r="9">
      <c r="A9" s="4" t="str">
        <f>IFERROR(__xludf.DUMMYFUNCTION("regexextract(G9,""[\w]* [\w]*"")"),"Francolinus pondicerianus")</f>
        <v>Francolinus pondicerianus</v>
      </c>
      <c r="B9" s="3" t="str">
        <f>IFERROR(__xludf.DUMMYFUNCTION("regexextract(A9,""[\w]*"")"),"Francolinus")</f>
        <v>Francolinus</v>
      </c>
      <c r="C9" s="3" t="s">
        <v>255</v>
      </c>
      <c r="D9" s="3" t="s">
        <v>256</v>
      </c>
      <c r="E9" s="3" t="s">
        <v>247</v>
      </c>
      <c r="F9" s="3" t="s">
        <v>162</v>
      </c>
      <c r="G9" s="3" t="s">
        <v>257</v>
      </c>
      <c r="H9" s="3"/>
    </row>
    <row r="10">
      <c r="A10" s="4" t="str">
        <f>IFERROR(__xludf.DUMMYFUNCTION("regexextract(G10,""[\w]* [\w]*"")"),"Gallus gallus")</f>
        <v>Gallus gallus</v>
      </c>
      <c r="B10" s="3" t="str">
        <f>IFERROR(__xludf.DUMMYFUNCTION("regexextract(A10,""[\w]*"")"),"Gallus")</f>
        <v>Gallus</v>
      </c>
      <c r="C10" s="3" t="s">
        <v>255</v>
      </c>
      <c r="D10" s="3" t="s">
        <v>256</v>
      </c>
      <c r="E10" s="3" t="s">
        <v>247</v>
      </c>
      <c r="F10" s="3" t="s">
        <v>162</v>
      </c>
      <c r="G10" s="3" t="s">
        <v>258</v>
      </c>
      <c r="H10" s="3"/>
    </row>
    <row r="11">
      <c r="A11" s="4" t="str">
        <f>IFERROR(__xludf.DUMMYFUNCTION("regexextract(G11,""[\w]* [\w]*"")"),"Tachybaptus ruficollis")</f>
        <v>Tachybaptus ruficollis</v>
      </c>
      <c r="B11" s="3" t="str">
        <f>IFERROR(__xludf.DUMMYFUNCTION("regexextract(A11,""[\w]*"")"),"Tachybaptus")</f>
        <v>Tachybaptus</v>
      </c>
      <c r="C11" s="3" t="s">
        <v>259</v>
      </c>
      <c r="D11" s="3" t="s">
        <v>260</v>
      </c>
      <c r="E11" s="3" t="s">
        <v>247</v>
      </c>
      <c r="F11" s="3" t="s">
        <v>162</v>
      </c>
      <c r="G11" s="3" t="s">
        <v>261</v>
      </c>
      <c r="H11" s="3">
        <v>1.0</v>
      </c>
    </row>
    <row r="12">
      <c r="A12" s="4" t="str">
        <f>IFERROR(__xludf.DUMMYFUNCTION("regexextract(G12,""[\w]* [\w]*"")"),"Columba livia")</f>
        <v>Columba livia</v>
      </c>
      <c r="B12" s="3" t="str">
        <f>IFERROR(__xludf.DUMMYFUNCTION("regexextract(A12,""[\w]*"")"),"Columba")</f>
        <v>Columba</v>
      </c>
      <c r="C12" s="3" t="s">
        <v>262</v>
      </c>
      <c r="D12" s="3" t="s">
        <v>263</v>
      </c>
      <c r="E12" s="3" t="s">
        <v>247</v>
      </c>
      <c r="F12" s="3" t="s">
        <v>162</v>
      </c>
      <c r="G12" s="3" t="s">
        <v>264</v>
      </c>
      <c r="H12" s="3"/>
    </row>
    <row r="13">
      <c r="A13" s="4" t="str">
        <f>IFERROR(__xludf.DUMMYFUNCTION("regexextract(G13,""[\w]* [\w]*"")"),"Streptopelia chinensis")</f>
        <v>Streptopelia chinensis</v>
      </c>
      <c r="B13" s="3" t="str">
        <f>IFERROR(__xludf.DUMMYFUNCTION("regexextract(A13,""[\w]*"")"),"Streptopelia")</f>
        <v>Streptopelia</v>
      </c>
      <c r="C13" s="3" t="s">
        <v>262</v>
      </c>
      <c r="D13" s="3" t="s">
        <v>263</v>
      </c>
      <c r="E13" s="3" t="s">
        <v>247</v>
      </c>
      <c r="F13" s="3" t="s">
        <v>162</v>
      </c>
      <c r="G13" s="3" t="s">
        <v>265</v>
      </c>
      <c r="H13" s="3"/>
    </row>
    <row r="14">
      <c r="A14" s="4" t="str">
        <f>IFERROR(__xludf.DUMMYFUNCTION("regexextract(G14,""[\w]* [\w]*"")"),"Streptopelia senegalensis")</f>
        <v>Streptopelia senegalensis</v>
      </c>
      <c r="B14" s="3" t="str">
        <f>IFERROR(__xludf.DUMMYFUNCTION("regexextract(A14,""[\w]*"")"),"Streptopelia")</f>
        <v>Streptopelia</v>
      </c>
      <c r="C14" s="3" t="s">
        <v>262</v>
      </c>
      <c r="D14" s="3" t="s">
        <v>263</v>
      </c>
      <c r="E14" s="3" t="s">
        <v>247</v>
      </c>
      <c r="F14" s="3" t="s">
        <v>162</v>
      </c>
      <c r="G14" s="3" t="s">
        <v>266</v>
      </c>
      <c r="H14" s="3"/>
    </row>
    <row r="15">
      <c r="A15" s="4" t="str">
        <f>IFERROR(__xludf.DUMMYFUNCTION("regexextract(G15,""[\w]* [\w]*"")"),"Chalcophaps indica")</f>
        <v>Chalcophaps indica</v>
      </c>
      <c r="B15" s="3" t="str">
        <f>IFERROR(__xludf.DUMMYFUNCTION("regexextract(A15,""[\w]*"")"),"Chalcophaps")</f>
        <v>Chalcophaps</v>
      </c>
      <c r="C15" s="3" t="s">
        <v>262</v>
      </c>
      <c r="D15" s="3" t="s">
        <v>263</v>
      </c>
      <c r="E15" s="3" t="s">
        <v>247</v>
      </c>
      <c r="F15" s="3" t="s">
        <v>162</v>
      </c>
      <c r="G15" s="3" t="s">
        <v>267</v>
      </c>
      <c r="H15" s="3"/>
    </row>
    <row r="16">
      <c r="A16" s="4" t="str">
        <f>IFERROR(__xludf.DUMMYFUNCTION("regexextract(G16,""[\w]* [\w]*"")"),"Centropus bengalensis")</f>
        <v>Centropus bengalensis</v>
      </c>
      <c r="B16" s="3" t="str">
        <f>IFERROR(__xludf.DUMMYFUNCTION("regexextract(A16,""[\w]*"")"),"Centropus")</f>
        <v>Centropus</v>
      </c>
      <c r="C16" s="3" t="s">
        <v>268</v>
      </c>
      <c r="D16" s="3" t="s">
        <v>269</v>
      </c>
      <c r="E16" s="3" t="s">
        <v>247</v>
      </c>
      <c r="F16" s="3" t="s">
        <v>162</v>
      </c>
      <c r="G16" s="3" t="s">
        <v>270</v>
      </c>
      <c r="H16" s="3"/>
    </row>
    <row r="17">
      <c r="A17" s="4" t="str">
        <f>IFERROR(__xludf.DUMMYFUNCTION("regexextract(G17,""[\w]* [\w]*"")"),"Eudynamys scolopaceus")</f>
        <v>Eudynamys scolopaceus</v>
      </c>
      <c r="B17" s="3" t="str">
        <f>IFERROR(__xludf.DUMMYFUNCTION("regexextract(A17,""[\w]*"")"),"Eudynamys")</f>
        <v>Eudynamys</v>
      </c>
      <c r="C17" s="3" t="s">
        <v>268</v>
      </c>
      <c r="D17" s="3" t="s">
        <v>269</v>
      </c>
      <c r="E17" s="3" t="s">
        <v>247</v>
      </c>
      <c r="F17" s="3" t="s">
        <v>162</v>
      </c>
      <c r="G17" s="3" t="s">
        <v>271</v>
      </c>
      <c r="H17" s="3"/>
    </row>
    <row r="18">
      <c r="A18" s="4" t="str">
        <f>IFERROR(__xludf.DUMMYFUNCTION("regexextract(G18,""[\w]* [\w]*"")"),"Hierococcyx varius")</f>
        <v>Hierococcyx varius</v>
      </c>
      <c r="B18" s="3" t="str">
        <f>IFERROR(__xludf.DUMMYFUNCTION("regexextract(A18,""[\w]*"")"),"Hierococcyx")</f>
        <v>Hierococcyx</v>
      </c>
      <c r="C18" s="3" t="s">
        <v>268</v>
      </c>
      <c r="D18" s="3" t="s">
        <v>269</v>
      </c>
      <c r="E18" s="3" t="s">
        <v>247</v>
      </c>
      <c r="F18" s="3" t="s">
        <v>162</v>
      </c>
      <c r="G18" s="3" t="s">
        <v>272</v>
      </c>
      <c r="H18" s="3"/>
    </row>
    <row r="19">
      <c r="A19" s="4" t="str">
        <f>IFERROR(__xludf.DUMMYFUNCTION("regexextract(G19,""[\w]* [\w]*"")"),"Caprimulgus asiaticus")</f>
        <v>Caprimulgus asiaticus</v>
      </c>
      <c r="B19" s="3" t="str">
        <f>IFERROR(__xludf.DUMMYFUNCTION("regexextract(A19,""[\w]*"")"),"Caprimulgus")</f>
        <v>Caprimulgus</v>
      </c>
      <c r="C19" s="3" t="s">
        <v>273</v>
      </c>
      <c r="D19" s="3" t="s">
        <v>274</v>
      </c>
      <c r="E19" s="3" t="s">
        <v>247</v>
      </c>
      <c r="F19" s="3" t="s">
        <v>162</v>
      </c>
      <c r="G19" s="3" t="s">
        <v>275</v>
      </c>
      <c r="H19" s="3"/>
    </row>
    <row r="20">
      <c r="A20" s="4" t="str">
        <f>IFERROR(__xludf.DUMMYFUNCTION("regexextract(G20,""[\w]* [\w]*"")"),"Gallinula chloropus")</f>
        <v>Gallinula chloropus</v>
      </c>
      <c r="B20" s="3" t="str">
        <f>IFERROR(__xludf.DUMMYFUNCTION("regexextract(A20,""[\w]*"")"),"Gallinula")</f>
        <v>Gallinula</v>
      </c>
      <c r="C20" s="3" t="s">
        <v>276</v>
      </c>
      <c r="D20" s="3" t="s">
        <v>277</v>
      </c>
      <c r="E20" s="3" t="s">
        <v>247</v>
      </c>
      <c r="F20" s="3" t="s">
        <v>162</v>
      </c>
      <c r="G20" s="3" t="s">
        <v>278</v>
      </c>
      <c r="H20" s="3">
        <v>1.0</v>
      </c>
    </row>
    <row r="21">
      <c r="A21" s="4" t="str">
        <f>IFERROR(__xludf.DUMMYFUNCTION("regexextract(G21,""[\w]* [\w]*"")"),"Fulica atra")</f>
        <v>Fulica atra</v>
      </c>
      <c r="B21" s="3" t="str">
        <f>IFERROR(__xludf.DUMMYFUNCTION("regexextract(A21,""[\w]*"")"),"Fulica")</f>
        <v>Fulica</v>
      </c>
      <c r="C21" s="3" t="s">
        <v>276</v>
      </c>
      <c r="D21" s="3" t="s">
        <v>277</v>
      </c>
      <c r="E21" s="3" t="s">
        <v>247</v>
      </c>
      <c r="F21" s="3" t="s">
        <v>162</v>
      </c>
      <c r="G21" s="3" t="s">
        <v>279</v>
      </c>
      <c r="H21" s="3">
        <v>1.0</v>
      </c>
    </row>
    <row r="22">
      <c r="A22" s="4" t="str">
        <f>IFERROR(__xludf.DUMMYFUNCTION("regexextract(G22,""[\w]* [\w]*"")"),"Porphyrio poliocephalus")</f>
        <v>Porphyrio poliocephalus</v>
      </c>
      <c r="B22" s="3" t="str">
        <f>IFERROR(__xludf.DUMMYFUNCTION("regexextract(A22,""[\w]*"")"),"Porphyrio")</f>
        <v>Porphyrio</v>
      </c>
      <c r="C22" s="3" t="s">
        <v>276</v>
      </c>
      <c r="D22" s="3" t="s">
        <v>277</v>
      </c>
      <c r="E22" s="3" t="s">
        <v>247</v>
      </c>
      <c r="F22" s="3" t="s">
        <v>162</v>
      </c>
      <c r="G22" s="3" t="s">
        <v>280</v>
      </c>
      <c r="H22" s="3">
        <v>1.0</v>
      </c>
    </row>
    <row r="23">
      <c r="A23" s="4" t="str">
        <f>IFERROR(__xludf.DUMMYFUNCTION("regexextract(G23,""[\w]* [\w]*"")"),"Amaurornis phoenicurus")</f>
        <v>Amaurornis phoenicurus</v>
      </c>
      <c r="B23" s="3" t="str">
        <f>IFERROR(__xludf.DUMMYFUNCTION("regexextract(A23,""[\w]*"")"),"Amaurornis")</f>
        <v>Amaurornis</v>
      </c>
      <c r="C23" s="3" t="s">
        <v>276</v>
      </c>
      <c r="D23" s="3" t="s">
        <v>277</v>
      </c>
      <c r="E23" s="3" t="s">
        <v>247</v>
      </c>
      <c r="F23" s="3" t="s">
        <v>162</v>
      </c>
      <c r="G23" s="3" t="s">
        <v>281</v>
      </c>
      <c r="H23" s="3">
        <v>1.0</v>
      </c>
    </row>
    <row r="24">
      <c r="A24" s="4" t="str">
        <f>IFERROR(__xludf.DUMMYFUNCTION("regexextract(G24,""[\w]* [\w]*"")"),"Himantopus Himantopus")</f>
        <v>Himantopus Himantopus</v>
      </c>
      <c r="B24" s="3" t="str">
        <f>IFERROR(__xludf.DUMMYFUNCTION("regexextract(A24,""[\w]*"")"),"Himantopus")</f>
        <v>Himantopus</v>
      </c>
      <c r="C24" s="3" t="s">
        <v>282</v>
      </c>
      <c r="D24" s="3" t="s">
        <v>283</v>
      </c>
      <c r="E24" s="3" t="s">
        <v>247</v>
      </c>
      <c r="F24" s="3" t="s">
        <v>162</v>
      </c>
      <c r="G24" s="3" t="s">
        <v>284</v>
      </c>
      <c r="H24" s="3">
        <v>1.0</v>
      </c>
    </row>
    <row r="25">
      <c r="A25" s="4" t="str">
        <f>IFERROR(__xludf.DUMMYFUNCTION("regexextract(G25,""[\w]* [\w]*"")"),"Pluvialis fulva")</f>
        <v>Pluvialis fulva</v>
      </c>
      <c r="B25" s="3" t="str">
        <f>IFERROR(__xludf.DUMMYFUNCTION("regexextract(A25,""[\w]*"")"),"Pluvialis")</f>
        <v>Pluvialis</v>
      </c>
      <c r="C25" s="3" t="s">
        <v>285</v>
      </c>
      <c r="D25" s="3" t="s">
        <v>283</v>
      </c>
      <c r="E25" s="3" t="s">
        <v>247</v>
      </c>
      <c r="F25" s="3" t="s">
        <v>162</v>
      </c>
      <c r="G25" s="3" t="s">
        <v>286</v>
      </c>
      <c r="H25" s="3">
        <v>1.0</v>
      </c>
    </row>
    <row r="26">
      <c r="A26" s="4" t="str">
        <f>IFERROR(__xludf.DUMMYFUNCTION("regexextract(G26,""[\w]* [\w]*"")"),"Charadrius dubius")</f>
        <v>Charadrius dubius</v>
      </c>
      <c r="B26" s="3" t="str">
        <f>IFERROR(__xludf.DUMMYFUNCTION("regexextract(A26,""[\w]*"")"),"Charadrius")</f>
        <v>Charadrius</v>
      </c>
      <c r="C26" s="3" t="s">
        <v>285</v>
      </c>
      <c r="D26" s="3" t="s">
        <v>283</v>
      </c>
      <c r="E26" s="3" t="s">
        <v>247</v>
      </c>
      <c r="F26" s="3" t="s">
        <v>162</v>
      </c>
      <c r="G26" s="3" t="s">
        <v>287</v>
      </c>
      <c r="H26" s="3">
        <v>1.0</v>
      </c>
    </row>
    <row r="27">
      <c r="A27" s="4" t="str">
        <f>IFERROR(__xludf.DUMMYFUNCTION("regexextract(G27,""[\w]* [\w]*"")"),"Vanellus malabaricus")</f>
        <v>Vanellus malabaricus</v>
      </c>
      <c r="B27" s="3" t="str">
        <f>IFERROR(__xludf.DUMMYFUNCTION("regexextract(A27,""[\w]*"")"),"Vanellus")</f>
        <v>Vanellus</v>
      </c>
      <c r="C27" s="3" t="s">
        <v>285</v>
      </c>
      <c r="D27" s="3" t="s">
        <v>283</v>
      </c>
      <c r="E27" s="3" t="s">
        <v>247</v>
      </c>
      <c r="F27" s="3" t="s">
        <v>162</v>
      </c>
      <c r="G27" s="3" t="s">
        <v>288</v>
      </c>
      <c r="H27" s="3"/>
    </row>
    <row r="28">
      <c r="A28" s="4" t="str">
        <f>IFERROR(__xludf.DUMMYFUNCTION("regexextract(G28,""[\w]* [\w]*"")"),"Vanellus indicus")</f>
        <v>Vanellus indicus</v>
      </c>
      <c r="B28" s="3" t="str">
        <f>IFERROR(__xludf.DUMMYFUNCTION("regexextract(A28,""[\w]*"")"),"Vanellus")</f>
        <v>Vanellus</v>
      </c>
      <c r="C28" s="3" t="s">
        <v>285</v>
      </c>
      <c r="D28" s="3" t="s">
        <v>283</v>
      </c>
      <c r="E28" s="3" t="s">
        <v>247</v>
      </c>
      <c r="F28" s="3" t="s">
        <v>162</v>
      </c>
      <c r="G28" s="3" t="s">
        <v>289</v>
      </c>
      <c r="H28" s="3"/>
    </row>
    <row r="29">
      <c r="A29" s="4" t="str">
        <f>IFERROR(__xludf.DUMMYFUNCTION("regexextract(G29,""[\w]* [\w]*"")"),"Metopidius indicus")</f>
        <v>Metopidius indicus</v>
      </c>
      <c r="B29" s="3" t="str">
        <f>IFERROR(__xludf.DUMMYFUNCTION("regexextract(A29,""[\w]*"")"),"Metopidius")</f>
        <v>Metopidius</v>
      </c>
      <c r="C29" s="3" t="s">
        <v>290</v>
      </c>
      <c r="D29" s="3" t="s">
        <v>283</v>
      </c>
      <c r="E29" s="3" t="s">
        <v>247</v>
      </c>
      <c r="F29" s="3" t="s">
        <v>162</v>
      </c>
      <c r="G29" s="3" t="s">
        <v>291</v>
      </c>
      <c r="H29" s="3">
        <v>1.0</v>
      </c>
    </row>
    <row r="30">
      <c r="A30" s="4" t="str">
        <f>IFERROR(__xludf.DUMMYFUNCTION("regexextract(G30,""[\w]* [\w]*"")"),"Hydrophasianus chirurgus")</f>
        <v>Hydrophasianus chirurgus</v>
      </c>
      <c r="B30" s="3" t="str">
        <f>IFERROR(__xludf.DUMMYFUNCTION("regexextract(A30,""[\w]*"")"),"Hydrophasianus")</f>
        <v>Hydrophasianus</v>
      </c>
      <c r="C30" s="3" t="s">
        <v>290</v>
      </c>
      <c r="D30" s="3" t="s">
        <v>283</v>
      </c>
      <c r="E30" s="3" t="s">
        <v>247</v>
      </c>
      <c r="F30" s="3" t="s">
        <v>162</v>
      </c>
      <c r="G30" s="3" t="s">
        <v>292</v>
      </c>
      <c r="H30" s="3">
        <v>1.0</v>
      </c>
    </row>
    <row r="31">
      <c r="A31" s="4" t="str">
        <f>IFERROR(__xludf.DUMMYFUNCTION("regexextract(G31,""[\w]* [\w]*"")"),"Numenius arquata")</f>
        <v>Numenius arquata</v>
      </c>
      <c r="B31" s="3" t="str">
        <f>IFERROR(__xludf.DUMMYFUNCTION("regexextract(A31,""[\w]*"")"),"Numenius")</f>
        <v>Numenius</v>
      </c>
      <c r="C31" s="3" t="s">
        <v>293</v>
      </c>
      <c r="D31" s="3" t="s">
        <v>283</v>
      </c>
      <c r="E31" s="3" t="s">
        <v>247</v>
      </c>
      <c r="F31" s="3" t="s">
        <v>162</v>
      </c>
      <c r="G31" s="3" t="s">
        <v>294</v>
      </c>
      <c r="H31" s="3">
        <v>1.0</v>
      </c>
    </row>
    <row r="32">
      <c r="A32" s="4" t="str">
        <f>IFERROR(__xludf.DUMMYFUNCTION("regexextract(G32,""[\w]* [\w]*"")"),"Calidris minuta")</f>
        <v>Calidris minuta</v>
      </c>
      <c r="B32" s="3" t="str">
        <f>IFERROR(__xludf.DUMMYFUNCTION("regexextract(A32,""[\w]*"")"),"Calidris")</f>
        <v>Calidris</v>
      </c>
      <c r="C32" s="3" t="s">
        <v>293</v>
      </c>
      <c r="D32" s="3" t="s">
        <v>283</v>
      </c>
      <c r="E32" s="3" t="s">
        <v>247</v>
      </c>
      <c r="F32" s="3" t="s">
        <v>162</v>
      </c>
      <c r="G32" s="3" t="s">
        <v>295</v>
      </c>
      <c r="H32" s="3">
        <v>1.0</v>
      </c>
    </row>
    <row r="33">
      <c r="A33" s="4" t="str">
        <f>IFERROR(__xludf.DUMMYFUNCTION("regexextract(G33,""[\w]* [\w]*"")"),"Xenus cinereus")</f>
        <v>Xenus cinereus</v>
      </c>
      <c r="B33" s="3" t="str">
        <f>IFERROR(__xludf.DUMMYFUNCTION("regexextract(A33,""[\w]*"")"),"Xenus")</f>
        <v>Xenus</v>
      </c>
      <c r="C33" s="3" t="s">
        <v>293</v>
      </c>
      <c r="D33" s="3" t="s">
        <v>283</v>
      </c>
      <c r="E33" s="3" t="s">
        <v>247</v>
      </c>
      <c r="F33" s="3" t="s">
        <v>162</v>
      </c>
      <c r="G33" s="3" t="s">
        <v>296</v>
      </c>
      <c r="H33" s="3">
        <v>1.0</v>
      </c>
    </row>
    <row r="34">
      <c r="A34" s="4" t="str">
        <f>IFERROR(__xludf.DUMMYFUNCTION("regexextract(G34,""[\w]* [\w]*"")"),"Tringa ochropus")</f>
        <v>Tringa ochropus</v>
      </c>
      <c r="B34" s="3" t="str">
        <f>IFERROR(__xludf.DUMMYFUNCTION("regexextract(A34,""[\w]*"")"),"Tringa")</f>
        <v>Tringa</v>
      </c>
      <c r="C34" s="3" t="s">
        <v>293</v>
      </c>
      <c r="D34" s="3" t="s">
        <v>283</v>
      </c>
      <c r="E34" s="3" t="s">
        <v>247</v>
      </c>
      <c r="F34" s="3" t="s">
        <v>162</v>
      </c>
      <c r="G34" s="3" t="s">
        <v>297</v>
      </c>
      <c r="H34" s="3">
        <v>1.0</v>
      </c>
    </row>
    <row r="35">
      <c r="A35" s="4" t="str">
        <f>IFERROR(__xludf.DUMMYFUNCTION("regexextract(G35,""[\w]* [\w]*"")"),"Tringa nebularia")</f>
        <v>Tringa nebularia</v>
      </c>
      <c r="B35" s="3" t="str">
        <f>IFERROR(__xludf.DUMMYFUNCTION("regexextract(A35,""[\w]*"")"),"Tringa")</f>
        <v>Tringa</v>
      </c>
      <c r="C35" s="3" t="s">
        <v>293</v>
      </c>
      <c r="D35" s="3" t="s">
        <v>283</v>
      </c>
      <c r="E35" s="3" t="s">
        <v>247</v>
      </c>
      <c r="F35" s="3" t="s">
        <v>162</v>
      </c>
      <c r="G35" s="3" t="s">
        <v>298</v>
      </c>
      <c r="H35" s="3">
        <v>1.0</v>
      </c>
    </row>
    <row r="36">
      <c r="A36" s="4" t="str">
        <f>IFERROR(__xludf.DUMMYFUNCTION("regexextract(G36,""[\w]* [\w]*"")"),"Tringa stagnatilis")</f>
        <v>Tringa stagnatilis</v>
      </c>
      <c r="B36" s="3" t="str">
        <f>IFERROR(__xludf.DUMMYFUNCTION("regexextract(A36,""[\w]*"")"),"Tringa")</f>
        <v>Tringa</v>
      </c>
      <c r="C36" s="3" t="s">
        <v>293</v>
      </c>
      <c r="D36" s="3" t="s">
        <v>283</v>
      </c>
      <c r="E36" s="3" t="s">
        <v>247</v>
      </c>
      <c r="F36" s="3" t="s">
        <v>162</v>
      </c>
      <c r="G36" s="3" t="s">
        <v>299</v>
      </c>
      <c r="H36" s="3">
        <v>1.0</v>
      </c>
    </row>
    <row r="37">
      <c r="A37" s="4" t="str">
        <f>IFERROR(__xludf.DUMMYFUNCTION("regexextract(G37,""[\w]* [\w]*"")"),"Tringa glareola")</f>
        <v>Tringa glareola</v>
      </c>
      <c r="B37" s="3" t="str">
        <f>IFERROR(__xludf.DUMMYFUNCTION("regexextract(A37,""[\w]*"")"),"Tringa")</f>
        <v>Tringa</v>
      </c>
      <c r="C37" s="3" t="s">
        <v>293</v>
      </c>
      <c r="D37" s="3" t="s">
        <v>283</v>
      </c>
      <c r="E37" s="3" t="s">
        <v>247</v>
      </c>
      <c r="F37" s="3" t="s">
        <v>162</v>
      </c>
      <c r="G37" s="3" t="s">
        <v>300</v>
      </c>
      <c r="H37" s="3">
        <v>1.0</v>
      </c>
    </row>
    <row r="38">
      <c r="A38" s="4" t="str">
        <f>IFERROR(__xludf.DUMMYFUNCTION("regexextract(G38,""[\w]* [\w]*"")"),"Tringa tetanus")</f>
        <v>Tringa tetanus</v>
      </c>
      <c r="B38" s="3" t="str">
        <f>IFERROR(__xludf.DUMMYFUNCTION("regexextract(A38,""[\w]*"")"),"Tringa")</f>
        <v>Tringa</v>
      </c>
      <c r="C38" s="3" t="s">
        <v>293</v>
      </c>
      <c r="D38" s="3" t="s">
        <v>283</v>
      </c>
      <c r="E38" s="3" t="s">
        <v>247</v>
      </c>
      <c r="F38" s="3" t="s">
        <v>162</v>
      </c>
      <c r="G38" s="3" t="s">
        <v>301</v>
      </c>
      <c r="H38" s="3">
        <v>1.0</v>
      </c>
    </row>
    <row r="39">
      <c r="A39" s="4" t="str">
        <f>IFERROR(__xludf.DUMMYFUNCTION("regexextract(G39,""[\w]* [\w]*"")"),"Chroicocephalus brunnicephalus")</f>
        <v>Chroicocephalus brunnicephalus</v>
      </c>
      <c r="B39" s="3" t="str">
        <f>IFERROR(__xludf.DUMMYFUNCTION("regexextract(A39,""[\w]*"")"),"Chroicocephalus")</f>
        <v>Chroicocephalus</v>
      </c>
      <c r="C39" s="3" t="s">
        <v>302</v>
      </c>
      <c r="D39" s="3" t="s">
        <v>283</v>
      </c>
      <c r="E39" s="3" t="s">
        <v>247</v>
      </c>
      <c r="F39" s="3" t="s">
        <v>162</v>
      </c>
      <c r="G39" s="3" t="s">
        <v>303</v>
      </c>
      <c r="H39" s="3">
        <v>1.0</v>
      </c>
    </row>
    <row r="40">
      <c r="A40" s="4" t="str">
        <f>IFERROR(__xludf.DUMMYFUNCTION("regexextract(G40,""[\w]* [\w]*"")"),"Sternula albifrons")</f>
        <v>Sternula albifrons</v>
      </c>
      <c r="B40" s="3" t="str">
        <f>IFERROR(__xludf.DUMMYFUNCTION("regexextract(A40,""[\w]*"")"),"Sternula")</f>
        <v>Sternula</v>
      </c>
      <c r="C40" s="3" t="s">
        <v>302</v>
      </c>
      <c r="D40" s="3" t="s">
        <v>283</v>
      </c>
      <c r="E40" s="3" t="s">
        <v>247</v>
      </c>
      <c r="F40" s="3" t="s">
        <v>162</v>
      </c>
      <c r="G40" s="3" t="s">
        <v>304</v>
      </c>
      <c r="H40" s="3">
        <v>1.0</v>
      </c>
    </row>
    <row r="41">
      <c r="A41" s="4" t="str">
        <f>IFERROR(__xludf.DUMMYFUNCTION("regexextract(G41,""[\w]* [\w]*"")"),"Chlidonias hybrida")</f>
        <v>Chlidonias hybrida</v>
      </c>
      <c r="B41" s="3" t="str">
        <f>IFERROR(__xludf.DUMMYFUNCTION("regexextract(A41,""[\w]*"")"),"Chlidonias")</f>
        <v>Chlidonias</v>
      </c>
      <c r="C41" s="3" t="s">
        <v>302</v>
      </c>
      <c r="D41" s="3" t="s">
        <v>283</v>
      </c>
      <c r="E41" s="3" t="s">
        <v>247</v>
      </c>
      <c r="F41" s="3" t="s">
        <v>162</v>
      </c>
      <c r="G41" s="3" t="s">
        <v>305</v>
      </c>
      <c r="H41" s="3">
        <v>1.0</v>
      </c>
    </row>
    <row r="42">
      <c r="A42" s="4" t="str">
        <f>IFERROR(__xludf.DUMMYFUNCTION("regexextract(G42,""[\w]* [\w]*"")"),"Sterna aurantia")</f>
        <v>Sterna aurantia</v>
      </c>
      <c r="B42" s="3" t="str">
        <f>IFERROR(__xludf.DUMMYFUNCTION("regexextract(A42,""[\w]*"")"),"Sterna")</f>
        <v>Sterna</v>
      </c>
      <c r="C42" s="3" t="s">
        <v>302</v>
      </c>
      <c r="D42" s="3" t="s">
        <v>283</v>
      </c>
      <c r="E42" s="3" t="s">
        <v>247</v>
      </c>
      <c r="F42" s="3" t="s">
        <v>162</v>
      </c>
      <c r="G42" s="3" t="s">
        <v>306</v>
      </c>
      <c r="H42" s="3">
        <v>1.0</v>
      </c>
    </row>
    <row r="43">
      <c r="A43" s="4" t="str">
        <f>IFERROR(__xludf.DUMMYFUNCTION("regexextract(G43,""[\w]* [\w]*"")"),"Anastomus oscitans")</f>
        <v>Anastomus oscitans</v>
      </c>
      <c r="B43" s="3" t="str">
        <f>IFERROR(__xludf.DUMMYFUNCTION("regexextract(A43,""[\w]*"")"),"Anastomus")</f>
        <v>Anastomus</v>
      </c>
      <c r="C43" s="3" t="s">
        <v>307</v>
      </c>
      <c r="D43" s="3" t="s">
        <v>308</v>
      </c>
      <c r="E43" s="3" t="s">
        <v>247</v>
      </c>
      <c r="F43" s="3" t="s">
        <v>162</v>
      </c>
      <c r="G43" s="3" t="s">
        <v>309</v>
      </c>
      <c r="H43" s="3">
        <v>1.0</v>
      </c>
    </row>
    <row r="44">
      <c r="A44" s="4" t="str">
        <f>IFERROR(__xludf.DUMMYFUNCTION("regexextract(G44,""[\w]* [\w]*"")"),"Mycteria leucocephala")</f>
        <v>Mycteria leucocephala</v>
      </c>
      <c r="B44" s="3" t="str">
        <f>IFERROR(__xludf.DUMMYFUNCTION("regexextract(A44,""[\w]*"")"),"Mycteria")</f>
        <v>Mycteria</v>
      </c>
      <c r="C44" s="3" t="s">
        <v>307</v>
      </c>
      <c r="D44" s="3" t="s">
        <v>308</v>
      </c>
      <c r="E44" s="3" t="s">
        <v>247</v>
      </c>
      <c r="F44" s="3" t="s">
        <v>162</v>
      </c>
      <c r="G44" s="3" t="s">
        <v>310</v>
      </c>
      <c r="H44" s="3">
        <v>1.0</v>
      </c>
    </row>
    <row r="45">
      <c r="A45" s="4" t="str">
        <f>IFERROR(__xludf.DUMMYFUNCTION("regexextract(G45,""[\w]* [\w]*"")"),"Anhinga melanogaster")</f>
        <v>Anhinga melanogaster</v>
      </c>
      <c r="B45" s="3" t="str">
        <f>IFERROR(__xludf.DUMMYFUNCTION("regexextract(A45,""[\w]*"")"),"Anhinga")</f>
        <v>Anhinga</v>
      </c>
      <c r="C45" s="3" t="s">
        <v>311</v>
      </c>
      <c r="D45" s="3" t="s">
        <v>312</v>
      </c>
      <c r="E45" s="3" t="s">
        <v>247</v>
      </c>
      <c r="F45" s="3" t="s">
        <v>162</v>
      </c>
      <c r="G45" s="3" t="s">
        <v>313</v>
      </c>
      <c r="H45" s="3">
        <v>1.0</v>
      </c>
    </row>
    <row r="46">
      <c r="A46" s="4" t="str">
        <f>IFERROR(__xludf.DUMMYFUNCTION("regexextract(G46,""[\w]* [\w]*"")"),"Microcarbo niger")</f>
        <v>Microcarbo niger</v>
      </c>
      <c r="B46" s="3" t="str">
        <f>IFERROR(__xludf.DUMMYFUNCTION("regexextract(A46,""[\w]*"")"),"Microcarbo")</f>
        <v>Microcarbo</v>
      </c>
      <c r="C46" s="3" t="s">
        <v>314</v>
      </c>
      <c r="D46" s="3" t="s">
        <v>312</v>
      </c>
      <c r="E46" s="3" t="s">
        <v>247</v>
      </c>
      <c r="F46" s="3" t="s">
        <v>162</v>
      </c>
      <c r="G46" s="3" t="s">
        <v>315</v>
      </c>
      <c r="H46" s="3">
        <v>1.0</v>
      </c>
    </row>
    <row r="47">
      <c r="A47" s="4" t="str">
        <f>IFERROR(__xludf.DUMMYFUNCTION("regexextract(G47,""[\w]* [\w]*"")"),"Phalacrocorax fuscicollis")</f>
        <v>Phalacrocorax fuscicollis</v>
      </c>
      <c r="B47" s="3" t="str">
        <f>IFERROR(__xludf.DUMMYFUNCTION("regexextract(A47,""[\w]*"")"),"Phalacrocorax")</f>
        <v>Phalacrocorax</v>
      </c>
      <c r="C47" s="3" t="s">
        <v>314</v>
      </c>
      <c r="D47" s="3" t="s">
        <v>312</v>
      </c>
      <c r="E47" s="3" t="s">
        <v>247</v>
      </c>
      <c r="F47" s="3" t="s">
        <v>162</v>
      </c>
      <c r="G47" s="3" t="s">
        <v>316</v>
      </c>
      <c r="H47" s="3">
        <v>1.0</v>
      </c>
    </row>
    <row r="48">
      <c r="A48" s="4" t="str">
        <f>IFERROR(__xludf.DUMMYFUNCTION("regexextract(G48,""[\w]* [\w]*"")"),"Ardea cinerea")</f>
        <v>Ardea cinerea</v>
      </c>
      <c r="B48" s="3" t="str">
        <f>IFERROR(__xludf.DUMMYFUNCTION("regexextract(A48,""[\w]*"")"),"Ardea")</f>
        <v>Ardea</v>
      </c>
      <c r="C48" s="3" t="s">
        <v>317</v>
      </c>
      <c r="D48" s="3" t="s">
        <v>318</v>
      </c>
      <c r="E48" s="3" t="s">
        <v>247</v>
      </c>
      <c r="F48" s="3" t="s">
        <v>162</v>
      </c>
      <c r="G48" s="3" t="s">
        <v>319</v>
      </c>
      <c r="H48" s="3">
        <v>1.0</v>
      </c>
    </row>
    <row r="49">
      <c r="A49" s="4" t="str">
        <f>IFERROR(__xludf.DUMMYFUNCTION("regexextract(G49,""[\w]* [\w]*"")"),"Ardea purpurea")</f>
        <v>Ardea purpurea</v>
      </c>
      <c r="B49" s="3" t="str">
        <f>IFERROR(__xludf.DUMMYFUNCTION("regexextract(A49,""[\w]*"")"),"Ardea")</f>
        <v>Ardea</v>
      </c>
      <c r="C49" s="3" t="s">
        <v>317</v>
      </c>
      <c r="D49" s="3" t="s">
        <v>318</v>
      </c>
      <c r="E49" s="3" t="s">
        <v>247</v>
      </c>
      <c r="F49" s="3" t="s">
        <v>162</v>
      </c>
      <c r="G49" s="3" t="s">
        <v>320</v>
      </c>
      <c r="H49" s="3">
        <v>1.0</v>
      </c>
    </row>
    <row r="50">
      <c r="A50" s="4" t="str">
        <f>IFERROR(__xludf.DUMMYFUNCTION("regexextract(G50,""[\w]* [\w]*"")"),"Ardea alba")</f>
        <v>Ardea alba</v>
      </c>
      <c r="B50" s="3" t="str">
        <f>IFERROR(__xludf.DUMMYFUNCTION("regexextract(A50,""[\w]*"")"),"Ardea")</f>
        <v>Ardea</v>
      </c>
      <c r="C50" s="3" t="s">
        <v>317</v>
      </c>
      <c r="D50" s="3" t="s">
        <v>318</v>
      </c>
      <c r="E50" s="3" t="s">
        <v>247</v>
      </c>
      <c r="F50" s="3" t="s">
        <v>162</v>
      </c>
      <c r="G50" s="3" t="s">
        <v>321</v>
      </c>
      <c r="H50" s="3">
        <v>1.0</v>
      </c>
    </row>
    <row r="51">
      <c r="A51" s="4" t="str">
        <f>IFERROR(__xludf.DUMMYFUNCTION("regexextract(G51,""[\w]* [\w]*"")"),"Ardea intermedia")</f>
        <v>Ardea intermedia</v>
      </c>
      <c r="B51" s="3" t="str">
        <f>IFERROR(__xludf.DUMMYFUNCTION("regexextract(A51,""[\w]*"")"),"Ardea")</f>
        <v>Ardea</v>
      </c>
      <c r="C51" s="3" t="s">
        <v>317</v>
      </c>
      <c r="D51" s="3" t="s">
        <v>318</v>
      </c>
      <c r="E51" s="3" t="s">
        <v>247</v>
      </c>
      <c r="F51" s="3" t="s">
        <v>162</v>
      </c>
      <c r="G51" s="3" t="s">
        <v>322</v>
      </c>
      <c r="H51" s="3">
        <v>1.0</v>
      </c>
    </row>
    <row r="52">
      <c r="A52" s="4" t="str">
        <f>IFERROR(__xludf.DUMMYFUNCTION("regexextract(G52,""[\w]* [\w]*"")"),"Egretta garzetta")</f>
        <v>Egretta garzetta</v>
      </c>
      <c r="B52" s="3" t="str">
        <f>IFERROR(__xludf.DUMMYFUNCTION("regexextract(A52,""[\w]*"")"),"Egretta")</f>
        <v>Egretta</v>
      </c>
      <c r="C52" s="3" t="s">
        <v>317</v>
      </c>
      <c r="D52" s="3" t="s">
        <v>318</v>
      </c>
      <c r="E52" s="3" t="s">
        <v>247</v>
      </c>
      <c r="F52" s="3" t="s">
        <v>162</v>
      </c>
      <c r="G52" s="3" t="s">
        <v>323</v>
      </c>
      <c r="H52" s="3">
        <v>1.0</v>
      </c>
    </row>
    <row r="53">
      <c r="A53" s="4" t="str">
        <f>IFERROR(__xludf.DUMMYFUNCTION("regexextract(G53,""[\w]* [\w]*"")"),"Bubulcus ibis")</f>
        <v>Bubulcus ibis</v>
      </c>
      <c r="B53" s="3" t="str">
        <f>IFERROR(__xludf.DUMMYFUNCTION("regexextract(A53,""[\w]*"")"),"Bubulcus")</f>
        <v>Bubulcus</v>
      </c>
      <c r="C53" s="3" t="s">
        <v>317</v>
      </c>
      <c r="D53" s="3" t="s">
        <v>318</v>
      </c>
      <c r="E53" s="3" t="s">
        <v>247</v>
      </c>
      <c r="F53" s="3" t="s">
        <v>162</v>
      </c>
      <c r="G53" s="3" t="s">
        <v>324</v>
      </c>
      <c r="H53" s="3">
        <v>1.0</v>
      </c>
    </row>
    <row r="54">
      <c r="A54" s="4" t="str">
        <f>IFERROR(__xludf.DUMMYFUNCTION("regexextract(G54,""[\w]* [\w]*"")"),"Ardeola grayii")</f>
        <v>Ardeola grayii</v>
      </c>
      <c r="B54" s="3" t="str">
        <f>IFERROR(__xludf.DUMMYFUNCTION("regexextract(A54,""[\w]*"")"),"Ardeola")</f>
        <v>Ardeola</v>
      </c>
      <c r="C54" s="3" t="s">
        <v>317</v>
      </c>
      <c r="D54" s="3" t="s">
        <v>318</v>
      </c>
      <c r="E54" s="3" t="s">
        <v>247</v>
      </c>
      <c r="F54" s="3" t="s">
        <v>162</v>
      </c>
      <c r="G54" s="3" t="s">
        <v>325</v>
      </c>
      <c r="H54" s="3">
        <v>1.0</v>
      </c>
    </row>
    <row r="55">
      <c r="A55" s="4" t="str">
        <f>IFERROR(__xludf.DUMMYFUNCTION("regexextract(G55,""[\w]* [\w]*"")"),"Nycticorax nycticorax")</f>
        <v>Nycticorax nycticorax</v>
      </c>
      <c r="B55" s="3" t="str">
        <f>IFERROR(__xludf.DUMMYFUNCTION("regexextract(A55,""[\w]*"")"),"Nycticorax")</f>
        <v>Nycticorax</v>
      </c>
      <c r="C55" s="3" t="s">
        <v>317</v>
      </c>
      <c r="D55" s="3" t="s">
        <v>318</v>
      </c>
      <c r="E55" s="3" t="s">
        <v>247</v>
      </c>
      <c r="F55" s="3" t="s">
        <v>162</v>
      </c>
      <c r="G55" s="3" t="s">
        <v>326</v>
      </c>
      <c r="H55" s="3">
        <v>1.0</v>
      </c>
    </row>
    <row r="56">
      <c r="A56" s="4" t="str">
        <f>IFERROR(__xludf.DUMMYFUNCTION("regexextract(G56,""[\w]* [\w]*"")"),"Plegadis falcinellus")</f>
        <v>Plegadis falcinellus</v>
      </c>
      <c r="B56" s="3" t="str">
        <f>IFERROR(__xludf.DUMMYFUNCTION("regexextract(A56,""[\w]*"")"),"Plegadis")</f>
        <v>Plegadis</v>
      </c>
      <c r="C56" s="3" t="s">
        <v>327</v>
      </c>
      <c r="D56" s="3" t="s">
        <v>318</v>
      </c>
      <c r="E56" s="3" t="s">
        <v>247</v>
      </c>
      <c r="F56" s="3" t="s">
        <v>162</v>
      </c>
      <c r="G56" s="3" t="s">
        <v>328</v>
      </c>
      <c r="H56" s="3">
        <v>1.0</v>
      </c>
    </row>
    <row r="57">
      <c r="A57" s="4" t="str">
        <f>IFERROR(__xludf.DUMMYFUNCTION("regexextract(G57,""[\w]* [\w]*"")"),"Threskiornis melanocephalus")</f>
        <v>Threskiornis melanocephalus</v>
      </c>
      <c r="B57" s="3" t="str">
        <f>IFERROR(__xludf.DUMMYFUNCTION("regexextract(A57,""[\w]*"")"),"Threskiornis")</f>
        <v>Threskiornis</v>
      </c>
      <c r="C57" s="3" t="s">
        <v>327</v>
      </c>
      <c r="D57" s="3" t="s">
        <v>318</v>
      </c>
      <c r="E57" s="3" t="s">
        <v>247</v>
      </c>
      <c r="F57" s="3" t="s">
        <v>162</v>
      </c>
      <c r="G57" s="3" t="s">
        <v>329</v>
      </c>
      <c r="H57" s="3">
        <v>1.0</v>
      </c>
    </row>
    <row r="58">
      <c r="A58" s="4" t="str">
        <f>IFERROR(__xludf.DUMMYFUNCTION("regexextract(G58,""[\w]* [\w]*"")"),"Pernis ptilorhynchus")</f>
        <v>Pernis ptilorhynchus</v>
      </c>
      <c r="B58" s="3" t="str">
        <f>IFERROR(__xludf.DUMMYFUNCTION("regexextract(A58,""[\w]*"")"),"Pernis")</f>
        <v>Pernis</v>
      </c>
      <c r="C58" s="3" t="s">
        <v>330</v>
      </c>
      <c r="D58" s="3" t="s">
        <v>331</v>
      </c>
      <c r="E58" s="3" t="s">
        <v>247</v>
      </c>
      <c r="F58" s="3" t="s">
        <v>162</v>
      </c>
      <c r="G58" s="3" t="s">
        <v>332</v>
      </c>
      <c r="H58" s="3"/>
    </row>
    <row r="59">
      <c r="A59" s="4" t="str">
        <f>IFERROR(__xludf.DUMMYFUNCTION("regexextract(G59,""[\w]* [\w]*"")"),"Accipiter badius")</f>
        <v>Accipiter badius</v>
      </c>
      <c r="B59" s="3" t="str">
        <f>IFERROR(__xludf.DUMMYFUNCTION("regexextract(A59,""[\w]*"")"),"Accipiter")</f>
        <v>Accipiter</v>
      </c>
      <c r="C59" s="3" t="s">
        <v>330</v>
      </c>
      <c r="D59" s="3" t="s">
        <v>331</v>
      </c>
      <c r="E59" s="3" t="s">
        <v>247</v>
      </c>
      <c r="F59" s="3" t="s">
        <v>162</v>
      </c>
      <c r="G59" s="3" t="s">
        <v>333</v>
      </c>
      <c r="H59" s="3"/>
    </row>
    <row r="60">
      <c r="A60" s="4" t="str">
        <f>IFERROR(__xludf.DUMMYFUNCTION("regexextract(G60,""[\w]* [\w]*"")"),"Milvus migrans")</f>
        <v>Milvus migrans</v>
      </c>
      <c r="B60" s="3" t="str">
        <f>IFERROR(__xludf.DUMMYFUNCTION("regexextract(A60,""[\w]*"")"),"Milvus")</f>
        <v>Milvus</v>
      </c>
      <c r="C60" s="3" t="s">
        <v>330</v>
      </c>
      <c r="D60" s="3" t="s">
        <v>331</v>
      </c>
      <c r="E60" s="3" t="s">
        <v>247</v>
      </c>
      <c r="F60" s="3" t="s">
        <v>162</v>
      </c>
      <c r="G60" s="3" t="s">
        <v>334</v>
      </c>
      <c r="H60" s="3"/>
    </row>
    <row r="61">
      <c r="A61" s="4" t="str">
        <f>IFERROR(__xludf.DUMMYFUNCTION("regexextract(G61,""[\w]* [\w]*"")"),"Haliastur indus")</f>
        <v>Haliastur indus</v>
      </c>
      <c r="B61" s="3" t="str">
        <f>IFERROR(__xludf.DUMMYFUNCTION("regexextract(A61,""[\w]*"")"),"Haliastur")</f>
        <v>Haliastur</v>
      </c>
      <c r="C61" s="3" t="s">
        <v>330</v>
      </c>
      <c r="D61" s="3" t="s">
        <v>331</v>
      </c>
      <c r="E61" s="3" t="s">
        <v>247</v>
      </c>
      <c r="F61" s="3" t="s">
        <v>162</v>
      </c>
      <c r="G61" s="3" t="s">
        <v>335</v>
      </c>
      <c r="H61" s="3"/>
    </row>
    <row r="62">
      <c r="A62" s="4" t="str">
        <f>IFERROR(__xludf.DUMMYFUNCTION("regexextract(G62,""[\w]* [\w]*"")"),"Elanus caeruleus")</f>
        <v>Elanus caeruleus</v>
      </c>
      <c r="B62" s="3" t="str">
        <f>IFERROR(__xludf.DUMMYFUNCTION("regexextract(A62,""[\w]*"")"),"Elanus")</f>
        <v>Elanus</v>
      </c>
      <c r="C62" s="3" t="s">
        <v>330</v>
      </c>
      <c r="D62" s="3" t="s">
        <v>331</v>
      </c>
      <c r="E62" s="3" t="s">
        <v>247</v>
      </c>
      <c r="F62" s="3" t="s">
        <v>162</v>
      </c>
      <c r="G62" s="3" t="s">
        <v>336</v>
      </c>
      <c r="H62" s="3"/>
    </row>
    <row r="63">
      <c r="A63" s="4" t="str">
        <f>IFERROR(__xludf.DUMMYFUNCTION("regexextract(G63,""[\w]* [\w]*"")"),"Haliaeetus leucogaster")</f>
        <v>Haliaeetus leucogaster</v>
      </c>
      <c r="B63" s="3" t="str">
        <f>IFERROR(__xludf.DUMMYFUNCTION("regexextract(A63,""[\w]*"")"),"Haliaeetus")</f>
        <v>Haliaeetus</v>
      </c>
      <c r="C63" s="3" t="s">
        <v>330</v>
      </c>
      <c r="D63" s="3" t="s">
        <v>331</v>
      </c>
      <c r="E63" s="3" t="s">
        <v>247</v>
      </c>
      <c r="F63" s="3" t="s">
        <v>162</v>
      </c>
      <c r="G63" s="3" t="s">
        <v>337</v>
      </c>
      <c r="H63" s="3"/>
    </row>
    <row r="64">
      <c r="A64" s="4" t="str">
        <f>IFERROR(__xludf.DUMMYFUNCTION("regexextract(G64,""[\w]* [\w]*"")"),"Spilornis cheela")</f>
        <v>Spilornis cheela</v>
      </c>
      <c r="B64" s="3" t="str">
        <f>IFERROR(__xludf.DUMMYFUNCTION("regexextract(A64,""[\w]*"")"),"Spilornis")</f>
        <v>Spilornis</v>
      </c>
      <c r="C64" s="3" t="s">
        <v>330</v>
      </c>
      <c r="D64" s="3" t="s">
        <v>331</v>
      </c>
      <c r="E64" s="3" t="s">
        <v>247</v>
      </c>
      <c r="F64" s="3" t="s">
        <v>162</v>
      </c>
      <c r="G64" s="3" t="s">
        <v>338</v>
      </c>
      <c r="H64" s="3"/>
    </row>
    <row r="65">
      <c r="A65" s="4" t="str">
        <f>IFERROR(__xludf.DUMMYFUNCTION("regexextract(G65,""[\w]* [\w]*"")"),"Circus aeruginosus")</f>
        <v>Circus aeruginosus</v>
      </c>
      <c r="B65" s="3" t="str">
        <f>IFERROR(__xludf.DUMMYFUNCTION("regexextract(A65,""[\w]*"")"),"Circus")</f>
        <v>Circus</v>
      </c>
      <c r="C65" s="3" t="s">
        <v>330</v>
      </c>
      <c r="D65" s="3" t="s">
        <v>331</v>
      </c>
      <c r="E65" s="3" t="s">
        <v>247</v>
      </c>
      <c r="F65" s="3" t="s">
        <v>162</v>
      </c>
      <c r="G65" s="3" t="s">
        <v>339</v>
      </c>
      <c r="H65" s="3"/>
    </row>
    <row r="66">
      <c r="A66" s="4" t="str">
        <f>IFERROR(__xludf.DUMMYFUNCTION("regexextract(G66,""[\w]* [\w]*"")"),"Tyto alba")</f>
        <v>Tyto alba</v>
      </c>
      <c r="B66" s="3" t="str">
        <f>IFERROR(__xludf.DUMMYFUNCTION("regexextract(A66,""[\w]*"")"),"Tyto")</f>
        <v>Tyto</v>
      </c>
      <c r="C66" s="3" t="s">
        <v>340</v>
      </c>
      <c r="D66" s="3" t="s">
        <v>341</v>
      </c>
      <c r="E66" s="3" t="s">
        <v>247</v>
      </c>
      <c r="F66" s="3" t="s">
        <v>162</v>
      </c>
      <c r="G66" s="3" t="s">
        <v>342</v>
      </c>
      <c r="H66" s="3"/>
    </row>
    <row r="67">
      <c r="A67" s="4" t="str">
        <f>IFERROR(__xludf.DUMMYFUNCTION("regexextract(G67,""[\w]* [\w]*"")"),"Athene brama")</f>
        <v>Athene brama</v>
      </c>
      <c r="B67" s="3" t="str">
        <f>IFERROR(__xludf.DUMMYFUNCTION("regexextract(A67,""[\w]*"")"),"Athene")</f>
        <v>Athene</v>
      </c>
      <c r="C67" s="3" t="s">
        <v>340</v>
      </c>
      <c r="D67" s="3" t="s">
        <v>341</v>
      </c>
      <c r="E67" s="3" t="s">
        <v>247</v>
      </c>
      <c r="F67" s="3" t="s">
        <v>162</v>
      </c>
      <c r="G67" s="3" t="s">
        <v>343</v>
      </c>
      <c r="H67" s="3"/>
    </row>
    <row r="68">
      <c r="A68" s="4" t="str">
        <f>IFERROR(__xludf.DUMMYFUNCTION("regexextract(G68,""[\w]* [\w]*"")"),"Upupa epops")</f>
        <v>Upupa epops</v>
      </c>
      <c r="B68" s="3" t="str">
        <f>IFERROR(__xludf.DUMMYFUNCTION("regexextract(A68,""[\w]*"")"),"Upupa")</f>
        <v>Upupa</v>
      </c>
      <c r="C68" s="3" t="s">
        <v>344</v>
      </c>
      <c r="D68" s="3" t="s">
        <v>345</v>
      </c>
      <c r="E68" s="3" t="s">
        <v>247</v>
      </c>
      <c r="F68" s="3" t="s">
        <v>162</v>
      </c>
      <c r="G68" s="3" t="s">
        <v>346</v>
      </c>
      <c r="H68" s="3"/>
    </row>
    <row r="69">
      <c r="A69" s="4" t="str">
        <f>IFERROR(__xludf.DUMMYFUNCTION("regexextract(G69,""[\w]* [\w]*"")"),"Ocyceros birostris")</f>
        <v>Ocyceros birostris</v>
      </c>
      <c r="B69" s="3" t="str">
        <f>IFERROR(__xludf.DUMMYFUNCTION("regexextract(A69,""[\w]*"")"),"Ocyceros")</f>
        <v>Ocyceros</v>
      </c>
      <c r="C69" s="3" t="s">
        <v>347</v>
      </c>
      <c r="D69" s="3" t="s">
        <v>345</v>
      </c>
      <c r="E69" s="3" t="s">
        <v>247</v>
      </c>
      <c r="F69" s="3" t="s">
        <v>162</v>
      </c>
      <c r="G69" s="3" t="s">
        <v>348</v>
      </c>
      <c r="H69" s="3"/>
    </row>
    <row r="70">
      <c r="A70" s="4" t="str">
        <f>IFERROR(__xludf.DUMMYFUNCTION("regexextract(G70,""[\w]* [\w]*"")"),"Alcedo atthis")</f>
        <v>Alcedo atthis</v>
      </c>
      <c r="B70" s="3" t="str">
        <f>IFERROR(__xludf.DUMMYFUNCTION("regexextract(A70,""[\w]*"")"),"Alcedo")</f>
        <v>Alcedo</v>
      </c>
      <c r="C70" s="3" t="s">
        <v>349</v>
      </c>
      <c r="D70" s="3" t="s">
        <v>350</v>
      </c>
      <c r="E70" s="3" t="s">
        <v>247</v>
      </c>
      <c r="F70" s="3" t="s">
        <v>162</v>
      </c>
      <c r="G70" s="3" t="s">
        <v>351</v>
      </c>
      <c r="H70" s="3">
        <v>1.0</v>
      </c>
    </row>
    <row r="71">
      <c r="A71" s="4" t="str">
        <f>IFERROR(__xludf.DUMMYFUNCTION("regexextract(G71,""[\w]* [\w]*"")"),"Halcyon smyrnensis")</f>
        <v>Halcyon smyrnensis</v>
      </c>
      <c r="B71" s="3" t="str">
        <f>IFERROR(__xludf.DUMMYFUNCTION("regexextract(A71,""[\w]*"")"),"Halcyon")</f>
        <v>Halcyon</v>
      </c>
      <c r="C71" s="3" t="s">
        <v>349</v>
      </c>
      <c r="D71" s="3" t="s">
        <v>350</v>
      </c>
      <c r="E71" s="3" t="s">
        <v>247</v>
      </c>
      <c r="F71" s="3" t="s">
        <v>162</v>
      </c>
      <c r="G71" s="3" t="s">
        <v>352</v>
      </c>
      <c r="H71" s="3">
        <v>1.0</v>
      </c>
    </row>
    <row r="72">
      <c r="A72" s="4" t="str">
        <f>IFERROR(__xludf.DUMMYFUNCTION("regexextract(G72,""[\w]* [\w]*"")"),"Ceryle rudis")</f>
        <v>Ceryle rudis</v>
      </c>
      <c r="B72" s="3" t="str">
        <f>IFERROR(__xludf.DUMMYFUNCTION("regexextract(A72,""[\w]*"")"),"Ceryle")</f>
        <v>Ceryle</v>
      </c>
      <c r="C72" s="3" t="s">
        <v>349</v>
      </c>
      <c r="D72" s="3" t="s">
        <v>350</v>
      </c>
      <c r="E72" s="3" t="s">
        <v>247</v>
      </c>
      <c r="F72" s="3" t="s">
        <v>162</v>
      </c>
      <c r="G72" s="3" t="s">
        <v>353</v>
      </c>
      <c r="H72" s="3">
        <v>1.0</v>
      </c>
    </row>
    <row r="73">
      <c r="A73" s="4" t="str">
        <f>IFERROR(__xludf.DUMMYFUNCTION("regexextract(G73,""[\w]* [\w]*"")"),"Merops orientalis")</f>
        <v>Merops orientalis</v>
      </c>
      <c r="B73" s="3" t="str">
        <f>IFERROR(__xludf.DUMMYFUNCTION("regexextract(A73,""[\w]*"")"),"Merops")</f>
        <v>Merops</v>
      </c>
      <c r="C73" s="3" t="s">
        <v>354</v>
      </c>
      <c r="D73" s="3" t="s">
        <v>350</v>
      </c>
      <c r="E73" s="3" t="s">
        <v>247</v>
      </c>
      <c r="F73" s="3" t="s">
        <v>162</v>
      </c>
      <c r="G73" s="3" t="s">
        <v>355</v>
      </c>
      <c r="H73" s="3"/>
    </row>
    <row r="74">
      <c r="A74" s="4" t="str">
        <f>IFERROR(__xludf.DUMMYFUNCTION("regexextract(G74,""[\w]* [\w]*"")"),"Merops philippinus")</f>
        <v>Merops philippinus</v>
      </c>
      <c r="B74" s="3" t="str">
        <f>IFERROR(__xludf.DUMMYFUNCTION("regexextract(A74,""[\w]*"")"),"Merops")</f>
        <v>Merops</v>
      </c>
      <c r="C74" s="3" t="s">
        <v>354</v>
      </c>
      <c r="D74" s="3" t="s">
        <v>350</v>
      </c>
      <c r="E74" s="3" t="s">
        <v>247</v>
      </c>
      <c r="F74" s="3" t="s">
        <v>162</v>
      </c>
      <c r="G74" s="3" t="s">
        <v>356</v>
      </c>
      <c r="H74" s="3"/>
    </row>
    <row r="75">
      <c r="A75" s="4" t="str">
        <f>IFERROR(__xludf.DUMMYFUNCTION("regexextract(G75,""[\w]* [\w]*"")"),"Coracias benghalensis")</f>
        <v>Coracias benghalensis</v>
      </c>
      <c r="B75" s="3" t="str">
        <f>IFERROR(__xludf.DUMMYFUNCTION("regexextract(A75,""[\w]*"")"),"Coracias")</f>
        <v>Coracias</v>
      </c>
      <c r="C75" s="3" t="s">
        <v>357</v>
      </c>
      <c r="D75" s="3" t="s">
        <v>350</v>
      </c>
      <c r="E75" s="3" t="s">
        <v>247</v>
      </c>
      <c r="F75" s="3" t="s">
        <v>162</v>
      </c>
      <c r="G75" s="3" t="s">
        <v>358</v>
      </c>
      <c r="H75" s="3"/>
    </row>
    <row r="76">
      <c r="A76" s="4" t="str">
        <f>IFERROR(__xludf.DUMMYFUNCTION("regexextract(G76,""[\w]* [\w]*"")"),"Dinopium benghalense")</f>
        <v>Dinopium benghalense</v>
      </c>
      <c r="B76" s="3" t="str">
        <f>IFERROR(__xludf.DUMMYFUNCTION("regexextract(A76,""[\w]*"")"),"Dinopium")</f>
        <v>Dinopium</v>
      </c>
      <c r="C76" s="3" t="s">
        <v>359</v>
      </c>
      <c r="D76" s="3" t="s">
        <v>360</v>
      </c>
      <c r="E76" s="3" t="s">
        <v>247</v>
      </c>
      <c r="F76" s="3" t="s">
        <v>162</v>
      </c>
      <c r="G76" s="3" t="s">
        <v>361</v>
      </c>
      <c r="H76" s="3"/>
    </row>
    <row r="77">
      <c r="A77" s="4" t="str">
        <f>IFERROR(__xludf.DUMMYFUNCTION("regexextract(G77,""[\w]* [\w]*"")"),"Psilopogon haemacephalus")</f>
        <v>Psilopogon haemacephalus</v>
      </c>
      <c r="B77" s="3" t="str">
        <f>IFERROR(__xludf.DUMMYFUNCTION("regexextract(A77,""[\w]*"")"),"Psilopogon")</f>
        <v>Psilopogon</v>
      </c>
      <c r="C77" s="3" t="s">
        <v>362</v>
      </c>
      <c r="D77" s="3" t="s">
        <v>360</v>
      </c>
      <c r="E77" s="3" t="s">
        <v>247</v>
      </c>
      <c r="F77" s="3" t="s">
        <v>162</v>
      </c>
      <c r="G77" s="3" t="s">
        <v>363</v>
      </c>
      <c r="H77" s="3"/>
    </row>
    <row r="78">
      <c r="A78" s="4" t="str">
        <f>IFERROR(__xludf.DUMMYFUNCTION("regexextract(G78,""[\w]* [\w]*"")"),"Psilopogon zeylanicus")</f>
        <v>Psilopogon zeylanicus</v>
      </c>
      <c r="B78" s="3" t="str">
        <f>IFERROR(__xludf.DUMMYFUNCTION("regexextract(A78,""[\w]*"")"),"Psilopogon")</f>
        <v>Psilopogon</v>
      </c>
      <c r="C78" s="3" t="s">
        <v>362</v>
      </c>
      <c r="D78" s="3" t="s">
        <v>360</v>
      </c>
      <c r="E78" s="3" t="s">
        <v>247</v>
      </c>
      <c r="F78" s="3" t="s">
        <v>162</v>
      </c>
      <c r="G78" s="3" t="s">
        <v>364</v>
      </c>
      <c r="H78" s="3"/>
    </row>
    <row r="79">
      <c r="A79" s="4" t="str">
        <f>IFERROR(__xludf.DUMMYFUNCTION("regexextract(G79,""[\w]* [\w]*"")"),"Psittacula eupatria")</f>
        <v>Psittacula eupatria</v>
      </c>
      <c r="B79" s="3" t="str">
        <f>IFERROR(__xludf.DUMMYFUNCTION("regexextract(A79,""[\w]*"")"),"Psittacula")</f>
        <v>Psittacula</v>
      </c>
      <c r="C79" s="3" t="s">
        <v>365</v>
      </c>
      <c r="D79" s="3" t="s">
        <v>366</v>
      </c>
      <c r="E79" s="3" t="s">
        <v>247</v>
      </c>
      <c r="F79" s="3" t="s">
        <v>162</v>
      </c>
      <c r="G79" s="3" t="s">
        <v>367</v>
      </c>
      <c r="H79" s="3"/>
    </row>
    <row r="80">
      <c r="A80" s="4" t="str">
        <f>IFERROR(__xludf.DUMMYFUNCTION("regexextract(G80,""[\w]* [\w]*"")"),"Psittacula krameria")</f>
        <v>Psittacula krameria</v>
      </c>
      <c r="B80" s="3" t="str">
        <f>IFERROR(__xludf.DUMMYFUNCTION("regexextract(A80,""[\w]*"")"),"Psittacula")</f>
        <v>Psittacula</v>
      </c>
      <c r="C80" s="3" t="s">
        <v>365</v>
      </c>
      <c r="D80" s="3" t="s">
        <v>366</v>
      </c>
      <c r="E80" s="3" t="s">
        <v>247</v>
      </c>
      <c r="F80" s="3" t="s">
        <v>162</v>
      </c>
      <c r="G80" s="3" t="s">
        <v>368</v>
      </c>
      <c r="H80" s="3"/>
    </row>
    <row r="81">
      <c r="A81" s="4" t="str">
        <f>IFERROR(__xludf.DUMMYFUNCTION("regexextract(G81,""[\w]* [\w]*"")"),"Aegithina tiphia")</f>
        <v>Aegithina tiphia</v>
      </c>
      <c r="B81" s="3" t="str">
        <f>IFERROR(__xludf.DUMMYFUNCTION("regexextract(A81,""[\w]*"")"),"Aegithina")</f>
        <v>Aegithina</v>
      </c>
      <c r="C81" s="3" t="s">
        <v>369</v>
      </c>
      <c r="D81" s="3" t="s">
        <v>370</v>
      </c>
      <c r="E81" s="3" t="s">
        <v>247</v>
      </c>
      <c r="F81" s="3" t="s">
        <v>162</v>
      </c>
      <c r="G81" s="3" t="s">
        <v>371</v>
      </c>
      <c r="H81" s="3"/>
    </row>
    <row r="82">
      <c r="A82" s="4" t="str">
        <f>IFERROR(__xludf.DUMMYFUNCTION("regexextract(G82,""[\w]* [\w]*"")"),"Oriolus kundoo")</f>
        <v>Oriolus kundoo</v>
      </c>
      <c r="B82" s="3" t="str">
        <f>IFERROR(__xludf.DUMMYFUNCTION("regexextract(A82,""[\w]*"")"),"Oriolus")</f>
        <v>Oriolus</v>
      </c>
      <c r="C82" s="3" t="s">
        <v>372</v>
      </c>
      <c r="D82" s="3" t="s">
        <v>370</v>
      </c>
      <c r="E82" s="3" t="s">
        <v>247</v>
      </c>
      <c r="F82" s="3" t="s">
        <v>162</v>
      </c>
      <c r="G82" s="3" t="s">
        <v>373</v>
      </c>
      <c r="H82" s="3"/>
    </row>
    <row r="83">
      <c r="A83" s="4" t="str">
        <f>IFERROR(__xludf.DUMMYFUNCTION("regexextract(G83,""[\w]* [\w]*"")"),"Oriolus xanthornus")</f>
        <v>Oriolus xanthornus</v>
      </c>
      <c r="B83" s="3" t="str">
        <f>IFERROR(__xludf.DUMMYFUNCTION("regexextract(A83,""[\w]*"")"),"Oriolus")</f>
        <v>Oriolus</v>
      </c>
      <c r="C83" s="3" t="s">
        <v>372</v>
      </c>
      <c r="D83" s="3" t="s">
        <v>370</v>
      </c>
      <c r="E83" s="3" t="s">
        <v>247</v>
      </c>
      <c r="F83" s="3" t="s">
        <v>162</v>
      </c>
      <c r="G83" s="3" t="s">
        <v>374</v>
      </c>
      <c r="H83" s="3"/>
    </row>
    <row r="84">
      <c r="A84" s="4" t="str">
        <f>IFERROR(__xludf.DUMMYFUNCTION("regexextract(G84,""[\w]* [\w]*"")"),"Lanius cristatus")</f>
        <v>Lanius cristatus</v>
      </c>
      <c r="B84" s="3" t="str">
        <f>IFERROR(__xludf.DUMMYFUNCTION("regexextract(A84,""[\w]*"")"),"Lanius")</f>
        <v>Lanius</v>
      </c>
      <c r="C84" s="3" t="s">
        <v>375</v>
      </c>
      <c r="D84" s="3" t="s">
        <v>370</v>
      </c>
      <c r="E84" s="3" t="s">
        <v>247</v>
      </c>
      <c r="F84" s="3" t="s">
        <v>162</v>
      </c>
      <c r="G84" s="3" t="s">
        <v>376</v>
      </c>
      <c r="H84" s="3"/>
    </row>
    <row r="85">
      <c r="A85" s="4" t="str">
        <f>IFERROR(__xludf.DUMMYFUNCTION("regexextract(G85,""[\w]* [\w]*"")"),"Dicrurus caerulescens")</f>
        <v>Dicrurus caerulescens</v>
      </c>
      <c r="B85" s="3" t="str">
        <f>IFERROR(__xludf.DUMMYFUNCTION("regexextract(A85,""[\w]*"")"),"Dicrurus")</f>
        <v>Dicrurus</v>
      </c>
      <c r="C85" s="3" t="s">
        <v>377</v>
      </c>
      <c r="D85" s="3" t="s">
        <v>370</v>
      </c>
      <c r="E85" s="3" t="s">
        <v>247</v>
      </c>
      <c r="F85" s="3" t="s">
        <v>162</v>
      </c>
      <c r="G85" s="3" t="s">
        <v>378</v>
      </c>
      <c r="H85" s="3"/>
    </row>
    <row r="86">
      <c r="A86" s="4" t="str">
        <f>IFERROR(__xludf.DUMMYFUNCTION("regexextract(G86,""[\w]* [\w]*"")"),"Dicrurus macrocercus")</f>
        <v>Dicrurus macrocercus</v>
      </c>
      <c r="B86" s="3" t="str">
        <f>IFERROR(__xludf.DUMMYFUNCTION("regexextract(A86,""[\w]*"")"),"Dicrurus")</f>
        <v>Dicrurus</v>
      </c>
      <c r="C86" s="3" t="s">
        <v>377</v>
      </c>
      <c r="D86" s="3" t="s">
        <v>370</v>
      </c>
      <c r="E86" s="3" t="s">
        <v>247</v>
      </c>
      <c r="F86" s="3" t="s">
        <v>162</v>
      </c>
      <c r="G86" s="3" t="s">
        <v>379</v>
      </c>
      <c r="H86" s="3"/>
    </row>
    <row r="87">
      <c r="A87" s="4" t="str">
        <f>IFERROR(__xludf.DUMMYFUNCTION("regexextract(G87,""[\w]* [\w]*"")"),"Dendrocitta vagabunda")</f>
        <v>Dendrocitta vagabunda</v>
      </c>
      <c r="B87" s="3" t="str">
        <f>IFERROR(__xludf.DUMMYFUNCTION("regexextract(A87,""[\w]*"")"),"Dendrocitta")</f>
        <v>Dendrocitta</v>
      </c>
      <c r="C87" s="3" t="s">
        <v>380</v>
      </c>
      <c r="D87" s="3" t="s">
        <v>370</v>
      </c>
      <c r="E87" s="3" t="s">
        <v>247</v>
      </c>
      <c r="F87" s="3" t="s">
        <v>162</v>
      </c>
      <c r="G87" s="3" t="s">
        <v>381</v>
      </c>
      <c r="H87" s="3"/>
    </row>
    <row r="88">
      <c r="A88" s="4" t="str">
        <f>IFERROR(__xludf.DUMMYFUNCTION("regexextract(G88,""[\w]* [\w]*"")"),"Corvus splendens")</f>
        <v>Corvus splendens</v>
      </c>
      <c r="B88" s="3" t="str">
        <f>IFERROR(__xludf.DUMMYFUNCTION("regexextract(A88,""[\w]*"")"),"Corvus")</f>
        <v>Corvus</v>
      </c>
      <c r="C88" s="3" t="s">
        <v>380</v>
      </c>
      <c r="D88" s="3" t="s">
        <v>370</v>
      </c>
      <c r="E88" s="3" t="s">
        <v>247</v>
      </c>
      <c r="F88" s="3" t="s">
        <v>162</v>
      </c>
      <c r="G88" s="3" t="s">
        <v>382</v>
      </c>
      <c r="H88" s="3"/>
    </row>
    <row r="89">
      <c r="A89" s="4" t="str">
        <f>IFERROR(__xludf.DUMMYFUNCTION("regexextract(G89,""[\w]* [\w]*"")"),"Corvus macrorhynchos")</f>
        <v>Corvus macrorhynchos</v>
      </c>
      <c r="B89" s="3" t="str">
        <f>IFERROR(__xludf.DUMMYFUNCTION("regexextract(A89,""[\w]*"")"),"Corvus")</f>
        <v>Corvus</v>
      </c>
      <c r="C89" s="3" t="s">
        <v>380</v>
      </c>
      <c r="D89" s="3" t="s">
        <v>370</v>
      </c>
      <c r="E89" s="3" t="s">
        <v>247</v>
      </c>
      <c r="F89" s="3" t="s">
        <v>162</v>
      </c>
      <c r="G89" s="3" t="s">
        <v>383</v>
      </c>
      <c r="H89" s="3"/>
    </row>
    <row r="90">
      <c r="A90" s="4" t="str">
        <f>IFERROR(__xludf.DUMMYFUNCTION("regexextract(G90,""[\w]* [\w]*"")"),"Prinia socialis")</f>
        <v>Prinia socialis</v>
      </c>
      <c r="B90" s="3" t="str">
        <f>IFERROR(__xludf.DUMMYFUNCTION("regexextract(A90,""[\w]*"")"),"Prinia")</f>
        <v>Prinia</v>
      </c>
      <c r="C90" s="3" t="s">
        <v>384</v>
      </c>
      <c r="D90" s="3" t="s">
        <v>370</v>
      </c>
      <c r="E90" s="3" t="s">
        <v>247</v>
      </c>
      <c r="F90" s="3" t="s">
        <v>162</v>
      </c>
      <c r="G90" s="3" t="s">
        <v>385</v>
      </c>
      <c r="H90" s="3"/>
    </row>
    <row r="91">
      <c r="A91" s="4" t="str">
        <f>IFERROR(__xludf.DUMMYFUNCTION("regexextract(G91,""[\w]* [\w]*"")"),"Prinia inornate")</f>
        <v>Prinia inornate</v>
      </c>
      <c r="B91" s="3" t="str">
        <f>IFERROR(__xludf.DUMMYFUNCTION("regexextract(A91,""[\w]*"")"),"Prinia")</f>
        <v>Prinia</v>
      </c>
      <c r="C91" s="3" t="s">
        <v>384</v>
      </c>
      <c r="D91" s="3" t="s">
        <v>370</v>
      </c>
      <c r="E91" s="3" t="s">
        <v>247</v>
      </c>
      <c r="F91" s="3" t="s">
        <v>162</v>
      </c>
      <c r="G91" s="3" t="s">
        <v>386</v>
      </c>
      <c r="H91" s="3"/>
    </row>
    <row r="92">
      <c r="A92" s="4" t="str">
        <f>IFERROR(__xludf.DUMMYFUNCTION("regexextract(G92,""[\w]* [\w]*"")"),"Cisticola juncidis")</f>
        <v>Cisticola juncidis</v>
      </c>
      <c r="B92" s="3" t="str">
        <f>IFERROR(__xludf.DUMMYFUNCTION("regexextract(A92,""[\w]*"")"),"Cisticola")</f>
        <v>Cisticola</v>
      </c>
      <c r="C92" s="3" t="s">
        <v>384</v>
      </c>
      <c r="D92" s="3" t="s">
        <v>370</v>
      </c>
      <c r="E92" s="3" t="s">
        <v>247</v>
      </c>
      <c r="F92" s="3" t="s">
        <v>162</v>
      </c>
      <c r="G92" s="3" t="s">
        <v>387</v>
      </c>
      <c r="H92" s="3"/>
    </row>
    <row r="93">
      <c r="A93" s="4" t="str">
        <f>IFERROR(__xludf.DUMMYFUNCTION("regexextract(G93,""[\w]* [\w]*"")"),"Acrocephalus stentoreus")</f>
        <v>Acrocephalus stentoreus</v>
      </c>
      <c r="B93" s="3" t="str">
        <f>IFERROR(__xludf.DUMMYFUNCTION("regexextract(A93,""[\w]*"")"),"Acrocephalus")</f>
        <v>Acrocephalus</v>
      </c>
      <c r="C93" s="3" t="s">
        <v>388</v>
      </c>
      <c r="D93" s="3" t="s">
        <v>370</v>
      </c>
      <c r="E93" s="3" t="s">
        <v>247</v>
      </c>
      <c r="F93" s="3" t="s">
        <v>162</v>
      </c>
      <c r="G93" s="3" t="s">
        <v>389</v>
      </c>
      <c r="H93" s="3"/>
    </row>
    <row r="94">
      <c r="A94" s="4" t="str">
        <f>IFERROR(__xludf.DUMMYFUNCTION("regexextract(G94,""[\w]* [\w]*"")"),"Hirundo rustica")</f>
        <v>Hirundo rustica</v>
      </c>
      <c r="B94" s="3" t="str">
        <f>IFERROR(__xludf.DUMMYFUNCTION("regexextract(A94,""[\w]*"")"),"Hirundo")</f>
        <v>Hirundo</v>
      </c>
      <c r="C94" s="3" t="s">
        <v>390</v>
      </c>
      <c r="D94" s="3" t="s">
        <v>370</v>
      </c>
      <c r="E94" s="3" t="s">
        <v>247</v>
      </c>
      <c r="F94" s="3" t="s">
        <v>162</v>
      </c>
      <c r="G94" s="3" t="s">
        <v>391</v>
      </c>
      <c r="H94" s="3"/>
    </row>
    <row r="95">
      <c r="A95" s="4" t="str">
        <f>IFERROR(__xludf.DUMMYFUNCTION("regexextract(G95,""[\w]* [\w]*"")"),"Pycnonotus cafer")</f>
        <v>Pycnonotus cafer</v>
      </c>
      <c r="B95" s="3" t="str">
        <f>IFERROR(__xludf.DUMMYFUNCTION("regexextract(A95,""[\w]*"")"),"Pycnonotus")</f>
        <v>Pycnonotus</v>
      </c>
      <c r="C95" s="3" t="s">
        <v>392</v>
      </c>
      <c r="D95" s="3" t="s">
        <v>370</v>
      </c>
      <c r="E95" s="3" t="s">
        <v>247</v>
      </c>
      <c r="F95" s="3" t="s">
        <v>162</v>
      </c>
      <c r="G95" s="3" t="s">
        <v>393</v>
      </c>
      <c r="H95" s="3"/>
    </row>
    <row r="96">
      <c r="A96" s="4" t="str">
        <f>IFERROR(__xludf.DUMMYFUNCTION("regexextract(G96,""[\w]* [\w]*"")"),"Pycnonotus luteolus")</f>
        <v>Pycnonotus luteolus</v>
      </c>
      <c r="B96" s="3" t="str">
        <f>IFERROR(__xludf.DUMMYFUNCTION("regexextract(A96,""[\w]*"")"),"Pycnonotus")</f>
        <v>Pycnonotus</v>
      </c>
      <c r="C96" s="3" t="s">
        <v>392</v>
      </c>
      <c r="D96" s="3" t="s">
        <v>370</v>
      </c>
      <c r="E96" s="3" t="s">
        <v>247</v>
      </c>
      <c r="F96" s="3" t="s">
        <v>162</v>
      </c>
      <c r="G96" s="3" t="s">
        <v>394</v>
      </c>
      <c r="H96" s="3"/>
    </row>
    <row r="97">
      <c r="A97" s="4" t="str">
        <f>IFERROR(__xludf.DUMMYFUNCTION("regexextract(G97,""[\w]* [\w]*"")"),"Pycnonotus jocosus")</f>
        <v>Pycnonotus jocosus</v>
      </c>
      <c r="B97" s="3" t="str">
        <f>IFERROR(__xludf.DUMMYFUNCTION("regexextract(A97,""[\w]*"")"),"Pycnonotus")</f>
        <v>Pycnonotus</v>
      </c>
      <c r="C97" s="3" t="s">
        <v>392</v>
      </c>
      <c r="D97" s="3" t="s">
        <v>370</v>
      </c>
      <c r="E97" s="3" t="s">
        <v>247</v>
      </c>
      <c r="F97" s="3" t="s">
        <v>162</v>
      </c>
      <c r="G97" s="3" t="s">
        <v>395</v>
      </c>
      <c r="H97" s="3"/>
    </row>
    <row r="98">
      <c r="A98" s="4" t="str">
        <f>IFERROR(__xludf.DUMMYFUNCTION("regexextract(G98,""[\w]* [\w]*"")"),"Argya striata")</f>
        <v>Argya striata</v>
      </c>
      <c r="B98" s="3" t="str">
        <f>IFERROR(__xludf.DUMMYFUNCTION("regexextract(A98,""[\w]*"")"),"Argya")</f>
        <v>Argya</v>
      </c>
      <c r="C98" s="3" t="s">
        <v>396</v>
      </c>
      <c r="D98" s="3" t="s">
        <v>370</v>
      </c>
      <c r="E98" s="3" t="s">
        <v>247</v>
      </c>
      <c r="F98" s="3" t="s">
        <v>162</v>
      </c>
      <c r="G98" s="3" t="s">
        <v>397</v>
      </c>
      <c r="H98" s="3"/>
    </row>
    <row r="99">
      <c r="A99" s="4" t="str">
        <f>IFERROR(__xludf.DUMMYFUNCTION("regexextract(G99,""[\w]* [\w]*"")"),"Gracupica contra")</f>
        <v>Gracupica contra</v>
      </c>
      <c r="B99" s="3" t="str">
        <f>IFERROR(__xludf.DUMMYFUNCTION("regexextract(A99,""[\w]*"")"),"Gracupica")</f>
        <v>Gracupica</v>
      </c>
      <c r="C99" s="3" t="s">
        <v>398</v>
      </c>
      <c r="D99" s="3" t="s">
        <v>370</v>
      </c>
      <c r="E99" s="3" t="s">
        <v>247</v>
      </c>
      <c r="F99" s="3" t="s">
        <v>162</v>
      </c>
      <c r="G99" s="3" t="s">
        <v>399</v>
      </c>
      <c r="H99" s="3"/>
    </row>
    <row r="100">
      <c r="A100" s="4" t="str">
        <f>IFERROR(__xludf.DUMMYFUNCTION("regexextract(G100,""[\w]* [\w]*"")"),"Sturnia malabarica")</f>
        <v>Sturnia malabarica</v>
      </c>
      <c r="B100" s="3" t="str">
        <f>IFERROR(__xludf.DUMMYFUNCTION("regexextract(A100,""[\w]*"")"),"Sturnia")</f>
        <v>Sturnia</v>
      </c>
      <c r="C100" s="3" t="s">
        <v>398</v>
      </c>
      <c r="D100" s="3" t="s">
        <v>370</v>
      </c>
      <c r="E100" s="3" t="s">
        <v>247</v>
      </c>
      <c r="F100" s="3" t="s">
        <v>162</v>
      </c>
      <c r="G100" s="3" t="s">
        <v>400</v>
      </c>
      <c r="H100" s="3"/>
    </row>
    <row r="101">
      <c r="A101" s="4" t="str">
        <f>IFERROR(__xludf.DUMMYFUNCTION("regexextract(G101,""[\w]* [\w]*"")"),"Acridotheres tristis")</f>
        <v>Acridotheres tristis</v>
      </c>
      <c r="B101" s="3" t="str">
        <f>IFERROR(__xludf.DUMMYFUNCTION("regexextract(A101,""[\w]*"")"),"Acridotheres")</f>
        <v>Acridotheres</v>
      </c>
      <c r="C101" s="3" t="s">
        <v>398</v>
      </c>
      <c r="D101" s="3" t="s">
        <v>370</v>
      </c>
      <c r="E101" s="3" t="s">
        <v>247</v>
      </c>
      <c r="F101" s="3" t="s">
        <v>162</v>
      </c>
      <c r="G101" s="3" t="s">
        <v>401</v>
      </c>
      <c r="H101" s="3"/>
    </row>
    <row r="102">
      <c r="A102" s="4" t="str">
        <f>IFERROR(__xludf.DUMMYFUNCTION("regexextract(G102,""[\w]* [\w]*"")"),"Acridotheres ginginianus")</f>
        <v>Acridotheres ginginianus</v>
      </c>
      <c r="B102" s="3" t="str">
        <f>IFERROR(__xludf.DUMMYFUNCTION("regexextract(A102,""[\w]*"")"),"Acridotheres")</f>
        <v>Acridotheres</v>
      </c>
      <c r="C102" s="3" t="s">
        <v>398</v>
      </c>
      <c r="D102" s="3" t="s">
        <v>370</v>
      </c>
      <c r="E102" s="3" t="s">
        <v>247</v>
      </c>
      <c r="F102" s="3" t="s">
        <v>162</v>
      </c>
      <c r="G102" s="3" t="s">
        <v>402</v>
      </c>
      <c r="H102" s="3"/>
    </row>
    <row r="103">
      <c r="A103" s="4" t="str">
        <f>IFERROR(__xludf.DUMMYFUNCTION("regexextract(G103,""[\w]* [\w]*"")"),"Acridotheres fuscus")</f>
        <v>Acridotheres fuscus</v>
      </c>
      <c r="B103" s="3" t="str">
        <f>IFERROR(__xludf.DUMMYFUNCTION("regexextract(A103,""[\w]*"")"),"Acridotheres")</f>
        <v>Acridotheres</v>
      </c>
      <c r="C103" s="3" t="s">
        <v>398</v>
      </c>
      <c r="D103" s="3" t="s">
        <v>370</v>
      </c>
      <c r="E103" s="3" t="s">
        <v>247</v>
      </c>
      <c r="F103" s="3" t="s">
        <v>162</v>
      </c>
      <c r="G103" s="3" t="s">
        <v>403</v>
      </c>
      <c r="H103" s="3"/>
    </row>
    <row r="104">
      <c r="A104" s="4" t="str">
        <f>IFERROR(__xludf.DUMMYFUNCTION("regexextract(G104,""[\w]* [\w]*"")"),"Copsychus fulicatus")</f>
        <v>Copsychus fulicatus</v>
      </c>
      <c r="B104" s="3" t="str">
        <f>IFERROR(__xludf.DUMMYFUNCTION("regexextract(A104,""[\w]*"")"),"Copsychus")</f>
        <v>Copsychus</v>
      </c>
      <c r="C104" s="3" t="s">
        <v>404</v>
      </c>
      <c r="D104" s="3" t="s">
        <v>370</v>
      </c>
      <c r="E104" s="3" t="s">
        <v>247</v>
      </c>
      <c r="F104" s="3" t="s">
        <v>162</v>
      </c>
      <c r="G104" s="3" t="s">
        <v>405</v>
      </c>
      <c r="H104" s="3"/>
    </row>
    <row r="105">
      <c r="A105" s="4" t="str">
        <f>IFERROR(__xludf.DUMMYFUNCTION("regexextract(G105,""[\w]* [\w]*"")"),"Copsychus saularis")</f>
        <v>Copsychus saularis</v>
      </c>
      <c r="B105" s="3" t="str">
        <f>IFERROR(__xludf.DUMMYFUNCTION("regexextract(A105,""[\w]*"")"),"Copsychus")</f>
        <v>Copsychus</v>
      </c>
      <c r="C105" s="3" t="s">
        <v>404</v>
      </c>
      <c r="D105" s="3" t="s">
        <v>370</v>
      </c>
      <c r="E105" s="3" t="s">
        <v>247</v>
      </c>
      <c r="F105" s="3" t="s">
        <v>162</v>
      </c>
      <c r="G105" s="3" t="s">
        <v>406</v>
      </c>
      <c r="H105" s="3"/>
    </row>
    <row r="106">
      <c r="A106" s="4" t="str">
        <f>IFERROR(__xludf.DUMMYFUNCTION("regexextract(G106,""[\w]* [\w]*"")"),"Cinnyris asiaticus")</f>
        <v>Cinnyris asiaticus</v>
      </c>
      <c r="B106" s="3" t="str">
        <f>IFERROR(__xludf.DUMMYFUNCTION("regexextract(A106,""[\w]*"")"),"Cinnyris")</f>
        <v>Cinnyris</v>
      </c>
      <c r="C106" s="3" t="s">
        <v>407</v>
      </c>
      <c r="D106" s="3" t="s">
        <v>370</v>
      </c>
      <c r="E106" s="3" t="s">
        <v>247</v>
      </c>
      <c r="F106" s="3" t="s">
        <v>162</v>
      </c>
      <c r="G106" s="3" t="s">
        <v>408</v>
      </c>
      <c r="H106" s="3"/>
    </row>
    <row r="107">
      <c r="A107" s="4" t="str">
        <f>IFERROR(__xludf.DUMMYFUNCTION("regexextract(G107,""[\w]* [\w]*"")"),"Leptocoma zeylonica")</f>
        <v>Leptocoma zeylonica</v>
      </c>
      <c r="B107" s="3" t="str">
        <f>IFERROR(__xludf.DUMMYFUNCTION("regexextract(A107,""[\w]*"")"),"Leptocoma")</f>
        <v>Leptocoma</v>
      </c>
      <c r="C107" s="3" t="s">
        <v>407</v>
      </c>
      <c r="D107" s="3" t="s">
        <v>370</v>
      </c>
      <c r="E107" s="3" t="s">
        <v>247</v>
      </c>
      <c r="F107" s="3" t="s">
        <v>162</v>
      </c>
      <c r="G107" s="3" t="s">
        <v>409</v>
      </c>
      <c r="H107" s="3"/>
    </row>
    <row r="108">
      <c r="A108" s="4" t="str">
        <f>IFERROR(__xludf.DUMMYFUNCTION("regexextract(G108,""[\w]* [\w]*"")"),"Lonchura punctulate")</f>
        <v>Lonchura punctulate</v>
      </c>
      <c r="B108" s="3" t="str">
        <f>IFERROR(__xludf.DUMMYFUNCTION("regexextract(A108,""[\w]*"")"),"Lonchura")</f>
        <v>Lonchura</v>
      </c>
      <c r="C108" s="3" t="s">
        <v>410</v>
      </c>
      <c r="D108" s="3" t="s">
        <v>370</v>
      </c>
      <c r="E108" s="3" t="s">
        <v>247</v>
      </c>
      <c r="F108" s="3" t="s">
        <v>162</v>
      </c>
      <c r="G108" s="3" t="s">
        <v>411</v>
      </c>
      <c r="H108" s="3"/>
    </row>
    <row r="109">
      <c r="A109" s="4" t="str">
        <f>IFERROR(__xludf.DUMMYFUNCTION("regexextract(G109,""[\w]* [\w]*"")"),"Lonchura malacca")</f>
        <v>Lonchura malacca</v>
      </c>
      <c r="B109" s="3" t="str">
        <f>IFERROR(__xludf.DUMMYFUNCTION("regexextract(A109,""[\w]*"")"),"Lonchura")</f>
        <v>Lonchura</v>
      </c>
      <c r="C109" s="3" t="s">
        <v>410</v>
      </c>
      <c r="D109" s="3" t="s">
        <v>370</v>
      </c>
      <c r="E109" s="3" t="s">
        <v>247</v>
      </c>
      <c r="F109" s="3" t="s">
        <v>162</v>
      </c>
      <c r="G109" s="3" t="s">
        <v>412</v>
      </c>
      <c r="H109" s="3"/>
    </row>
    <row r="110">
      <c r="A110" s="4" t="str">
        <f>IFERROR(__xludf.DUMMYFUNCTION("regexextract(G110,""[\w]* [\w]*"")"),"Euodice malabarica")</f>
        <v>Euodice malabarica</v>
      </c>
      <c r="B110" s="3" t="str">
        <f>IFERROR(__xludf.DUMMYFUNCTION("regexextract(A110,""[\w]*"")"),"Euodice")</f>
        <v>Euodice</v>
      </c>
      <c r="C110" s="3" t="s">
        <v>410</v>
      </c>
      <c r="D110" s="3" t="s">
        <v>370</v>
      </c>
      <c r="E110" s="3" t="s">
        <v>247</v>
      </c>
      <c r="F110" s="3" t="s">
        <v>162</v>
      </c>
      <c r="G110" s="3" t="s">
        <v>413</v>
      </c>
      <c r="H110" s="3"/>
    </row>
    <row r="111">
      <c r="A111" s="4" t="str">
        <f>IFERROR(__xludf.DUMMYFUNCTION("regexextract(G111,""[\w]* [\w]*"")"),"Passer domesticus")</f>
        <v>Passer domesticus</v>
      </c>
      <c r="B111" s="3" t="str">
        <f>IFERROR(__xludf.DUMMYFUNCTION("regexextract(A111,""[\w]*"")"),"Passer")</f>
        <v>Passer</v>
      </c>
      <c r="C111" s="3" t="s">
        <v>414</v>
      </c>
      <c r="D111" s="3" t="s">
        <v>370</v>
      </c>
      <c r="E111" s="3" t="s">
        <v>247</v>
      </c>
      <c r="F111" s="3" t="s">
        <v>162</v>
      </c>
      <c r="G111" s="3" t="s">
        <v>415</v>
      </c>
      <c r="H111" s="3"/>
    </row>
    <row r="112">
      <c r="A112" s="4" t="str">
        <f>IFERROR(__xludf.DUMMYFUNCTION("regexextract(G112,""[\w]* [\w]*"")"),"Motacilla citreola")</f>
        <v>Motacilla citreola</v>
      </c>
      <c r="B112" s="3" t="str">
        <f>IFERROR(__xludf.DUMMYFUNCTION("regexextract(A112,""[\w]*"")"),"Motacilla")</f>
        <v>Motacilla</v>
      </c>
      <c r="C112" s="3" t="s">
        <v>416</v>
      </c>
      <c r="D112" s="3" t="s">
        <v>370</v>
      </c>
      <c r="E112" s="3" t="s">
        <v>247</v>
      </c>
      <c r="F112" s="3" t="s">
        <v>162</v>
      </c>
      <c r="G112" s="3" t="s">
        <v>417</v>
      </c>
      <c r="H112" s="3"/>
    </row>
    <row r="113">
      <c r="A113" s="4" t="str">
        <f>IFERROR(__xludf.DUMMYFUNCTION("regexextract(G113,""[\w]* [\w]*"")"),"Motacilla tschutschensis")</f>
        <v>Motacilla tschutschensis</v>
      </c>
      <c r="B113" s="3" t="str">
        <f>IFERROR(__xludf.DUMMYFUNCTION("regexextract(A113,""[\w]*"")"),"Motacilla")</f>
        <v>Motacilla</v>
      </c>
      <c r="C113" s="3" t="s">
        <v>416</v>
      </c>
      <c r="D113" s="3" t="s">
        <v>370</v>
      </c>
      <c r="E113" s="3" t="s">
        <v>247</v>
      </c>
      <c r="F113" s="3" t="s">
        <v>162</v>
      </c>
      <c r="G113" s="3" t="s">
        <v>418</v>
      </c>
      <c r="H113" s="3"/>
    </row>
    <row r="114">
      <c r="A114" s="4" t="str">
        <f>IFERROR(__xludf.DUMMYFUNCTION("regexextract(G114,""[\w]* [\w]*"")"),"Motacilla alba")</f>
        <v>Motacilla alba</v>
      </c>
      <c r="B114" s="3" t="str">
        <f>IFERROR(__xludf.DUMMYFUNCTION("regexextract(A114,""[\w]*"")"),"Motacilla")</f>
        <v>Motacilla</v>
      </c>
      <c r="C114" s="3" t="s">
        <v>416</v>
      </c>
      <c r="D114" s="3" t="s">
        <v>370</v>
      </c>
      <c r="E114" s="3" t="s">
        <v>247</v>
      </c>
      <c r="F114" s="3" t="s">
        <v>162</v>
      </c>
      <c r="G114" s="3" t="s">
        <v>419</v>
      </c>
      <c r="H114" s="3"/>
    </row>
    <row r="115">
      <c r="A115" s="4" t="str">
        <f>IFERROR(__xludf.DUMMYFUNCTION("regexextract(G115,""[\w]* [\w]*"")"),"Anthus rufulus")</f>
        <v>Anthus rufulus</v>
      </c>
      <c r="B115" s="3" t="str">
        <f>IFERROR(__xludf.DUMMYFUNCTION("regexextract(A115,""[\w]*"")"),"Anthus")</f>
        <v>Anthus</v>
      </c>
      <c r="C115" s="3" t="s">
        <v>416</v>
      </c>
      <c r="D115" s="3" t="s">
        <v>370</v>
      </c>
      <c r="E115" s="3" t="s">
        <v>247</v>
      </c>
      <c r="F115" s="3" t="s">
        <v>162</v>
      </c>
      <c r="G115" s="3" t="s">
        <v>420</v>
      </c>
      <c r="H115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33"/>
    <col customWidth="1" min="6" max="6" width="2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6" t="s">
        <v>6</v>
      </c>
      <c r="G1" s="13" t="s">
        <v>244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tr">
        <f>IFERROR(__xludf.DUMMYFUNCTION("regexextract(F2,""[\w]* [\w]*"")"),"Macaca mulatta")</f>
        <v>Macaca mulatta</v>
      </c>
      <c r="B2" s="4" t="str">
        <f>IFERROR(__xludf.DUMMYFUNCTION("regexextract(A2,""[\w]*"")"),"Macaca")</f>
        <v>Macaca</v>
      </c>
      <c r="C2" s="3" t="s">
        <v>421</v>
      </c>
      <c r="D2" s="3" t="s">
        <v>422</v>
      </c>
      <c r="E2" s="3" t="s">
        <v>162</v>
      </c>
      <c r="F2" s="11" t="s">
        <v>423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tr">
        <f>IFERROR(__xludf.DUMMYFUNCTION("regexextract(F3,""[\w]* [\w]*"")"),"Semnopithecus entellus")</f>
        <v>Semnopithecus entellus</v>
      </c>
      <c r="B3" s="4" t="str">
        <f>IFERROR(__xludf.DUMMYFUNCTION("regexextract(A3,""[\w]*"")"),"Semnopithecus")</f>
        <v>Semnopithecus</v>
      </c>
      <c r="C3" s="3" t="s">
        <v>421</v>
      </c>
      <c r="D3" s="3" t="s">
        <v>422</v>
      </c>
      <c r="E3" s="3" t="s">
        <v>162</v>
      </c>
      <c r="F3" s="11" t="s">
        <v>424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tr">
        <f>IFERROR(__xludf.DUMMYFUNCTION("regexextract(F4,""[\w]* [\w]*"")"),"Funambulus palmarum")</f>
        <v>Funambulus palmarum</v>
      </c>
      <c r="B4" s="4" t="str">
        <f>IFERROR(__xludf.DUMMYFUNCTION("regexextract(A4,""[\w]*"")"),"Funambulus")</f>
        <v>Funambulus</v>
      </c>
      <c r="C4" s="3" t="s">
        <v>425</v>
      </c>
      <c r="D4" s="3" t="s">
        <v>426</v>
      </c>
      <c r="E4" s="3" t="s">
        <v>162</v>
      </c>
      <c r="F4" s="11" t="s">
        <v>427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tr">
        <f>IFERROR(__xludf.DUMMYFUNCTION("regexextract(F5,""[\w]* [\w]*"")"),"Hystrix indica")</f>
        <v>Hystrix indica</v>
      </c>
      <c r="B5" s="4" t="str">
        <f>IFERROR(__xludf.DUMMYFUNCTION("regexextract(A5,""[\w]*"")"),"Hystrix")</f>
        <v>Hystrix</v>
      </c>
      <c r="C5" s="3" t="s">
        <v>428</v>
      </c>
      <c r="D5" s="3" t="s">
        <v>426</v>
      </c>
      <c r="E5" s="3" t="s">
        <v>162</v>
      </c>
      <c r="F5" s="11" t="s">
        <v>429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tr">
        <f>IFERROR(__xludf.DUMMYFUNCTION("regexextract(F6,""[\w]* [\w]*"")"),"Lepus nigricollis")</f>
        <v>Lepus nigricollis</v>
      </c>
      <c r="B6" s="4" t="str">
        <f>IFERROR(__xludf.DUMMYFUNCTION("regexextract(A6,""[\w]*"")"),"Lepus")</f>
        <v>Lepus</v>
      </c>
      <c r="C6" s="3" t="s">
        <v>430</v>
      </c>
      <c r="D6" s="3" t="s">
        <v>431</v>
      </c>
      <c r="E6" s="3" t="s">
        <v>162</v>
      </c>
      <c r="F6" s="11" t="s">
        <v>432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 t="str">
        <f>IFERROR(__xludf.DUMMYFUNCTION("regexextract(F7,""[\w]* [\w]*"")"),"Pteropus giganteus")</f>
        <v>Pteropus giganteus</v>
      </c>
      <c r="B7" s="4" t="str">
        <f>IFERROR(__xludf.DUMMYFUNCTION("regexextract(A7,""[\w]*"")"),"Pteropus")</f>
        <v>Pteropus</v>
      </c>
      <c r="C7" s="3" t="s">
        <v>433</v>
      </c>
      <c r="D7" s="3" t="s">
        <v>434</v>
      </c>
      <c r="E7" s="3" t="s">
        <v>162</v>
      </c>
      <c r="F7" s="11" t="s">
        <v>435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 t="str">
        <f>IFERROR(__xludf.DUMMYFUNCTION("regexextract(F8,""[\w]* [\w]*"")"),"Felis chaus")</f>
        <v>Felis chaus</v>
      </c>
      <c r="B8" s="4" t="str">
        <f>IFERROR(__xludf.DUMMYFUNCTION("regexextract(A8,""[\w]*"")"),"Felis")</f>
        <v>Felis</v>
      </c>
      <c r="C8" s="3" t="s">
        <v>436</v>
      </c>
      <c r="D8" s="3" t="s">
        <v>437</v>
      </c>
      <c r="E8" s="3" t="s">
        <v>162</v>
      </c>
      <c r="F8" s="11" t="s">
        <v>438</v>
      </c>
      <c r="G8" s="3">
        <v>1.0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 t="str">
        <f>IFERROR(__xludf.DUMMYFUNCTION("regexextract(F9,""[\w]* [\w]*"")"),"Prionailurus viverrinus")</f>
        <v>Prionailurus viverrinus</v>
      </c>
      <c r="B9" s="4" t="str">
        <f>IFERROR(__xludf.DUMMYFUNCTION("regexextract(A9,""[\w]*"")"),"Prionailurus")</f>
        <v>Prionailurus</v>
      </c>
      <c r="C9" s="3" t="s">
        <v>436</v>
      </c>
      <c r="D9" s="3" t="s">
        <v>437</v>
      </c>
      <c r="E9" s="3" t="s">
        <v>162</v>
      </c>
      <c r="F9" s="11" t="s">
        <v>439</v>
      </c>
      <c r="G9" s="3">
        <v>1.0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 t="str">
        <f>IFERROR(__xludf.DUMMYFUNCTION("regexextract(F10,""[\w]* [\w]*"")"),"Paradoxurus hermaphrodites")</f>
        <v>Paradoxurus hermaphrodites</v>
      </c>
      <c r="B10" s="4" t="str">
        <f>IFERROR(__xludf.DUMMYFUNCTION("regexextract(A10,""[\w]*"")"),"Paradoxurus")</f>
        <v>Paradoxurus</v>
      </c>
      <c r="C10" s="3" t="s">
        <v>440</v>
      </c>
      <c r="D10" s="3" t="s">
        <v>437</v>
      </c>
      <c r="E10" s="3" t="s">
        <v>162</v>
      </c>
      <c r="F10" s="11" t="s">
        <v>441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 t="str">
        <f>IFERROR(__xludf.DUMMYFUNCTION("regexextract(F11,""[\w]* [\w]*"")"),"Viverricula indica")</f>
        <v>Viverricula indica</v>
      </c>
      <c r="B11" s="4" t="str">
        <f>IFERROR(__xludf.DUMMYFUNCTION("regexextract(A11,""[\w]*"")"),"Viverricula")</f>
        <v>Viverricula</v>
      </c>
      <c r="C11" s="3" t="s">
        <v>440</v>
      </c>
      <c r="D11" s="3" t="s">
        <v>437</v>
      </c>
      <c r="E11" s="3" t="s">
        <v>162</v>
      </c>
      <c r="F11" s="11" t="s">
        <v>442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 t="str">
        <f>IFERROR(__xludf.DUMMYFUNCTION("regexextract(F12,""[\w]* [\w]*"")"),"Urva auropunctatus")</f>
        <v>Urva auropunctatus</v>
      </c>
      <c r="B12" s="4" t="str">
        <f>IFERROR(__xludf.DUMMYFUNCTION("regexextract(A12,""[\w]*"")"),"Urva")</f>
        <v>Urva</v>
      </c>
      <c r="C12" s="3" t="s">
        <v>443</v>
      </c>
      <c r="D12" s="3" t="s">
        <v>437</v>
      </c>
      <c r="E12" s="3" t="s">
        <v>162</v>
      </c>
      <c r="F12" s="11" t="s">
        <v>444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4" t="str">
        <f>IFERROR(__xludf.DUMMYFUNCTION("regexextract(F13,""[\w]* [\w]*"")"),"Canis aureus")</f>
        <v>Canis aureus</v>
      </c>
      <c r="B13" s="4" t="str">
        <f>IFERROR(__xludf.DUMMYFUNCTION("regexextract(A13,""[\w]*"")"),"Canis")</f>
        <v>Canis</v>
      </c>
      <c r="C13" s="3" t="s">
        <v>445</v>
      </c>
      <c r="D13" s="3" t="s">
        <v>437</v>
      </c>
      <c r="E13" s="3" t="s">
        <v>162</v>
      </c>
      <c r="F13" s="11" t="s">
        <v>446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4" t="str">
        <f>IFERROR(__xludf.DUMMYFUNCTION("regexextract(F14,""[\w]* [\w]*"")"),"Sus scrofa")</f>
        <v>Sus scrofa</v>
      </c>
      <c r="B14" s="4" t="str">
        <f>IFERROR(__xludf.DUMMYFUNCTION("regexextract(A14,""[\w]*"")"),"Sus")</f>
        <v>Sus</v>
      </c>
      <c r="C14" s="3" t="s">
        <v>447</v>
      </c>
      <c r="D14" s="3" t="s">
        <v>448</v>
      </c>
      <c r="E14" s="3" t="s">
        <v>162</v>
      </c>
      <c r="F14" s="11" t="s">
        <v>449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8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8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8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8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8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8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8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8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8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8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8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8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8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8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8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8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8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8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8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8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8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8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8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8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8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8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8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8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8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8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9.67"/>
  </cols>
  <sheetData>
    <row r="1">
      <c r="A1" s="15" t="s">
        <v>450</v>
      </c>
      <c r="B1" s="15" t="s">
        <v>451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452</v>
      </c>
      <c r="B2" s="3" t="s">
        <v>453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454</v>
      </c>
      <c r="B3" s="3" t="s">
        <v>453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455</v>
      </c>
      <c r="B4" s="3" t="s">
        <v>453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456</v>
      </c>
      <c r="B5" s="3" t="s">
        <v>453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457</v>
      </c>
      <c r="B6" s="3" t="s">
        <v>453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458</v>
      </c>
      <c r="B7" s="3" t="s">
        <v>453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459</v>
      </c>
      <c r="B8" s="3" t="s">
        <v>453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460</v>
      </c>
      <c r="B9" s="3" t="s">
        <v>461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462</v>
      </c>
      <c r="B10" s="3" t="s">
        <v>461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463</v>
      </c>
      <c r="B11" s="3" t="s">
        <v>461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464</v>
      </c>
      <c r="B12" s="3" t="s">
        <v>461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465</v>
      </c>
      <c r="B13" s="3" t="s">
        <v>461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466</v>
      </c>
      <c r="B14" s="3" t="s">
        <v>467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468</v>
      </c>
      <c r="B15" s="3" t="s">
        <v>467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469</v>
      </c>
      <c r="B16" s="3" t="s">
        <v>467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470</v>
      </c>
      <c r="B17" s="3" t="s">
        <v>467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471</v>
      </c>
      <c r="B18" s="3" t="s">
        <v>467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472</v>
      </c>
      <c r="B19" s="3" t="s">
        <v>467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473</v>
      </c>
      <c r="B20" s="3" t="s">
        <v>467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474</v>
      </c>
      <c r="B21" s="3" t="s">
        <v>467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475</v>
      </c>
      <c r="B22" s="3" t="s">
        <v>467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476</v>
      </c>
      <c r="B23" s="3" t="s">
        <v>467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477</v>
      </c>
      <c r="B24" s="3" t="s">
        <v>467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478</v>
      </c>
      <c r="B25" s="3" t="s">
        <v>467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479</v>
      </c>
      <c r="B26" s="3" t="s">
        <v>467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480</v>
      </c>
      <c r="B27" s="3" t="s">
        <v>467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481</v>
      </c>
      <c r="B28" s="3" t="s">
        <v>467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482</v>
      </c>
      <c r="B29" s="3" t="s">
        <v>467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483</v>
      </c>
      <c r="B30" s="3" t="s">
        <v>467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484</v>
      </c>
      <c r="B31" s="3" t="s">
        <v>467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485</v>
      </c>
      <c r="B32" s="3" t="s">
        <v>486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487</v>
      </c>
      <c r="B33" s="3" t="s">
        <v>486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488</v>
      </c>
      <c r="B34" s="3" t="s">
        <v>486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489</v>
      </c>
      <c r="B35" s="3" t="s">
        <v>486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490</v>
      </c>
      <c r="B36" s="3" t="s">
        <v>486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491</v>
      </c>
      <c r="B37" s="3" t="s">
        <v>486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492</v>
      </c>
      <c r="B38" s="3" t="s">
        <v>486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493</v>
      </c>
      <c r="B39" s="3" t="s">
        <v>486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 t="s">
        <v>494</v>
      </c>
      <c r="B40" s="3" t="s">
        <v>486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495</v>
      </c>
      <c r="B41" s="3" t="s">
        <v>486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496</v>
      </c>
      <c r="B42" s="3" t="s">
        <v>486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497</v>
      </c>
      <c r="B43" s="3" t="s">
        <v>498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">
        <v>499</v>
      </c>
      <c r="B44" s="3" t="s">
        <v>498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 t="s">
        <v>500</v>
      </c>
      <c r="B45" s="3" t="s">
        <v>498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 t="s">
        <v>501</v>
      </c>
      <c r="B46" s="3" t="s">
        <v>498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 t="s">
        <v>502</v>
      </c>
      <c r="B47" s="3" t="s">
        <v>498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 t="s">
        <v>503</v>
      </c>
      <c r="B48" s="3" t="s">
        <v>498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 t="s">
        <v>504</v>
      </c>
      <c r="B49" s="3" t="s">
        <v>498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 t="s">
        <v>505</v>
      </c>
      <c r="B50" s="3" t="s">
        <v>498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 t="s">
        <v>506</v>
      </c>
      <c r="B51" s="3" t="s">
        <v>498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 t="s">
        <v>507</v>
      </c>
      <c r="B52" s="3" t="s">
        <v>498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 t="s">
        <v>508</v>
      </c>
      <c r="B53" s="3" t="s">
        <v>498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2022-12-05T05:02:38Z</dcterms:created>
  <dc:creator>Microsoft Office User</dc:creator>
</cp:coreProperties>
</file>