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ellencurrano/Dropbox/Paleoherbivory database/Manuscript files/Supplementary Information/"/>
    </mc:Choice>
  </mc:AlternateContent>
  <xr:revisionPtr revIDLastSave="0" documentId="13_ncr:1_{49FA2272-E793-3249-9422-35E9A98A5C28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Data Table" sheetId="1" r:id="rId1"/>
    <sheet name="Full Bibliographic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7" i="1" l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S61" i="1"/>
  <c r="Q61" i="1"/>
  <c r="O61" i="1"/>
  <c r="U60" i="1"/>
  <c r="Q60" i="1"/>
  <c r="O60" i="1"/>
  <c r="H60" i="1"/>
  <c r="G60" i="1"/>
  <c r="U59" i="1"/>
  <c r="S59" i="1"/>
  <c r="Q59" i="1"/>
  <c r="O59" i="1"/>
  <c r="S58" i="1"/>
  <c r="Q58" i="1"/>
  <c r="U57" i="1"/>
  <c r="S57" i="1"/>
  <c r="Q57" i="1"/>
  <c r="O57" i="1"/>
  <c r="H57" i="1"/>
  <c r="G57" i="1"/>
  <c r="U56" i="1"/>
  <c r="S56" i="1"/>
  <c r="Q56" i="1"/>
  <c r="O56" i="1"/>
  <c r="H56" i="1"/>
  <c r="U55" i="1"/>
  <c r="S55" i="1"/>
  <c r="Q55" i="1"/>
  <c r="O55" i="1"/>
  <c r="U54" i="1"/>
  <c r="S54" i="1"/>
  <c r="Q54" i="1"/>
  <c r="O54" i="1"/>
  <c r="U53" i="1"/>
  <c r="Q53" i="1"/>
  <c r="O53" i="1"/>
  <c r="U52" i="1"/>
  <c r="Q52" i="1"/>
  <c r="O52" i="1"/>
  <c r="U51" i="1"/>
  <c r="S51" i="1"/>
  <c r="Q51" i="1"/>
  <c r="O51" i="1"/>
  <c r="S50" i="1"/>
  <c r="Q50" i="1"/>
  <c r="W49" i="1"/>
  <c r="T49" i="1"/>
  <c r="R49" i="1"/>
  <c r="M49" i="1"/>
  <c r="U48" i="1"/>
  <c r="S48" i="1"/>
  <c r="Q48" i="1"/>
  <c r="U47" i="1"/>
  <c r="S47" i="1"/>
  <c r="Q47" i="1"/>
  <c r="O47" i="1"/>
  <c r="U46" i="1"/>
  <c r="S46" i="1"/>
  <c r="Q46" i="1"/>
  <c r="O46" i="1"/>
  <c r="S45" i="1"/>
  <c r="Q45" i="1"/>
  <c r="U44" i="1"/>
  <c r="S44" i="1"/>
  <c r="Q44" i="1"/>
  <c r="U43" i="1"/>
  <c r="S43" i="1"/>
  <c r="Q43" i="1"/>
  <c r="U42" i="1"/>
  <c r="S42" i="1"/>
  <c r="Q42" i="1"/>
  <c r="S41" i="1"/>
  <c r="Q41" i="1"/>
  <c r="O41" i="1"/>
  <c r="U40" i="1"/>
  <c r="S40" i="1"/>
  <c r="Q40" i="1"/>
  <c r="O40" i="1"/>
  <c r="U38" i="1"/>
  <c r="S38" i="1"/>
  <c r="Q38" i="1"/>
  <c r="U37" i="1"/>
  <c r="S37" i="1"/>
  <c r="Q37" i="1"/>
  <c r="O37" i="1"/>
  <c r="U36" i="1"/>
  <c r="S36" i="1"/>
  <c r="Q36" i="1"/>
  <c r="U35" i="1"/>
  <c r="S35" i="1"/>
  <c r="Q35" i="1"/>
  <c r="U34" i="1"/>
  <c r="S34" i="1"/>
  <c r="Q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G28" i="1"/>
  <c r="X27" i="1"/>
  <c r="T27" i="1"/>
  <c r="U27" i="1" s="1"/>
  <c r="R27" i="1"/>
  <c r="M27" i="1"/>
  <c r="U26" i="1"/>
  <c r="S26" i="1"/>
  <c r="Q26" i="1"/>
  <c r="O26" i="1"/>
  <c r="U25" i="1"/>
  <c r="S25" i="1"/>
  <c r="Q25" i="1"/>
  <c r="O25" i="1"/>
  <c r="Y24" i="1"/>
  <c r="W24" i="1"/>
  <c r="U24" i="1"/>
  <c r="S24" i="1"/>
  <c r="U23" i="1"/>
  <c r="S23" i="1"/>
  <c r="Q23" i="1"/>
  <c r="O23" i="1"/>
  <c r="U22" i="1"/>
  <c r="S22" i="1"/>
  <c r="Q22" i="1"/>
  <c r="O22" i="1"/>
  <c r="L22" i="1"/>
  <c r="K22" i="1"/>
  <c r="H22" i="1"/>
  <c r="G22" i="1"/>
  <c r="U21" i="1"/>
  <c r="S21" i="1"/>
  <c r="Q21" i="1"/>
  <c r="O21" i="1"/>
  <c r="U20" i="1"/>
  <c r="S20" i="1"/>
  <c r="Q20" i="1"/>
  <c r="O20" i="1"/>
  <c r="L20" i="1"/>
  <c r="K20" i="1"/>
  <c r="Y19" i="1"/>
  <c r="W19" i="1"/>
  <c r="U19" i="1"/>
  <c r="U18" i="1"/>
  <c r="Q18" i="1"/>
  <c r="O18" i="1"/>
  <c r="L18" i="1"/>
  <c r="K18" i="1"/>
  <c r="U17" i="1"/>
  <c r="S17" i="1"/>
  <c r="Q17" i="1"/>
  <c r="O17" i="1"/>
  <c r="U16" i="1"/>
  <c r="Q16" i="1"/>
  <c r="O16" i="1"/>
  <c r="U15" i="1"/>
  <c r="Q15" i="1"/>
  <c r="O15" i="1"/>
  <c r="U14" i="1"/>
  <c r="S14" i="1"/>
  <c r="Q14" i="1"/>
  <c r="O14" i="1"/>
  <c r="K14" i="1"/>
  <c r="U13" i="1"/>
  <c r="S13" i="1"/>
  <c r="Q13" i="1"/>
  <c r="O13" i="1"/>
  <c r="L13" i="1"/>
  <c r="K13" i="1"/>
  <c r="U12" i="1"/>
  <c r="S12" i="1"/>
  <c r="Q12" i="1"/>
  <c r="O12" i="1"/>
  <c r="U11" i="1"/>
  <c r="S11" i="1"/>
  <c r="Q11" i="1"/>
  <c r="O11" i="1"/>
  <c r="H11" i="1"/>
  <c r="U10" i="1"/>
  <c r="S10" i="1"/>
  <c r="Q10" i="1"/>
  <c r="O10" i="1"/>
  <c r="H10" i="1"/>
  <c r="U9" i="1"/>
  <c r="S9" i="1"/>
  <c r="Q9" i="1"/>
  <c r="O9" i="1"/>
  <c r="G9" i="1"/>
  <c r="U8" i="1"/>
  <c r="S8" i="1"/>
  <c r="Q8" i="1"/>
  <c r="O8" i="1"/>
  <c r="I8" i="1"/>
  <c r="U7" i="1"/>
  <c r="S7" i="1"/>
  <c r="Q7" i="1"/>
  <c r="O7" i="1"/>
  <c r="U6" i="1"/>
  <c r="S6" i="1"/>
  <c r="Q6" i="1"/>
  <c r="O6" i="1"/>
  <c r="I6" i="1"/>
  <c r="U5" i="1"/>
  <c r="S5" i="1"/>
  <c r="Q5" i="1"/>
  <c r="O5" i="1"/>
  <c r="I5" i="1"/>
  <c r="U4" i="1"/>
  <c r="S4" i="1"/>
  <c r="Q4" i="1"/>
  <c r="O4" i="1"/>
  <c r="L4" i="1"/>
  <c r="K4" i="1"/>
  <c r="U3" i="1"/>
  <c r="S3" i="1"/>
  <c r="Q3" i="1"/>
  <c r="O3" i="1"/>
  <c r="K3" i="1"/>
  <c r="I3" i="1"/>
  <c r="Y2" i="1"/>
  <c r="X2" i="1"/>
  <c r="W2" i="1"/>
  <c r="V2" i="1"/>
  <c r="T2" i="1"/>
  <c r="U2" i="1" s="1"/>
  <c r="R2" i="1"/>
  <c r="S2" i="1"/>
  <c r="P2" i="1"/>
  <c r="O2" i="1"/>
  <c r="I2" i="1"/>
  <c r="S27" i="1"/>
  <c r="S49" i="1"/>
  <c r="U49" i="1"/>
  <c r="Q2" i="1"/>
</calcChain>
</file>

<file path=xl/sharedStrings.xml><?xml version="1.0" encoding="utf-8"?>
<sst xmlns="http://schemas.openxmlformats.org/spreadsheetml/2006/main" count="655" uniqueCount="236">
  <si>
    <t>Flora</t>
  </si>
  <si>
    <t>Region</t>
  </si>
  <si>
    <t>Age</t>
  </si>
  <si>
    <t>Age.error</t>
  </si>
  <si>
    <t>Bernasso</t>
  </si>
  <si>
    <t>Pleistocene</t>
  </si>
  <si>
    <t>Mid-N</t>
  </si>
  <si>
    <t>Eurasia</t>
  </si>
  <si>
    <t>lacustrine</t>
  </si>
  <si>
    <t>Berga</t>
  </si>
  <si>
    <t>Pliocene</t>
  </si>
  <si>
    <t>Willershausen</t>
  </si>
  <si>
    <t>Hredavatn-StafholtFm</t>
  </si>
  <si>
    <t>Miocene</t>
  </si>
  <si>
    <t>High-N</t>
  </si>
  <si>
    <t>Iceland</t>
  </si>
  <si>
    <t>fluvial</t>
  </si>
  <si>
    <t>Unknown</t>
  </si>
  <si>
    <t>NA</t>
  </si>
  <si>
    <t>Skardsstrond-MokollsdalurFm</t>
  </si>
  <si>
    <t>Trollatunga-GautshamarFm.</t>
  </si>
  <si>
    <t>mixed</t>
  </si>
  <si>
    <t>Brjanslaekur-Selja Fm</t>
  </si>
  <si>
    <t>Hindon Maar</t>
  </si>
  <si>
    <t>Mid-S</t>
  </si>
  <si>
    <t>New Zealand</t>
  </si>
  <si>
    <t>Delta Sandy Horizon, Most Basin</t>
  </si>
  <si>
    <t>coastal</t>
  </si>
  <si>
    <t>Lake Clayey Horizon, Most Basin</t>
  </si>
  <si>
    <t>Mush</t>
  </si>
  <si>
    <t>Low</t>
  </si>
  <si>
    <t>Africa</t>
  </si>
  <si>
    <t xml:space="preserve"> +216, -126</t>
  </si>
  <si>
    <t>Rott</t>
  </si>
  <si>
    <t>Oligocene</t>
  </si>
  <si>
    <t>Lacustrine</t>
  </si>
  <si>
    <t>Enspel</t>
  </si>
  <si>
    <t>LV3</t>
  </si>
  <si>
    <t>Quegstein</t>
  </si>
  <si>
    <t>Chilga</t>
  </si>
  <si>
    <t xml:space="preserve"> +359, -287</t>
  </si>
  <si>
    <t>Markam Basin MK-1</t>
  </si>
  <si>
    <t>Florissant</t>
  </si>
  <si>
    <t>Eocene</t>
  </si>
  <si>
    <t>North America</t>
  </si>
  <si>
    <t xml:space="preserve"> +608,-334</t>
  </si>
  <si>
    <t>Markam Basin MK-3</t>
  </si>
  <si>
    <t>Renardodden</t>
  </si>
  <si>
    <t>Eocene-Oligocene</t>
  </si>
  <si>
    <t>Spitsbergen</t>
  </si>
  <si>
    <t>Profen</t>
  </si>
  <si>
    <t>Eckfeld</t>
  </si>
  <si>
    <t>Parachute Creek</t>
  </si>
  <si>
    <t>Bonanza</t>
  </si>
  <si>
    <t xml:space="preserve"> +362,-253</t>
  </si>
  <si>
    <t>Messel</t>
  </si>
  <si>
    <t>King George Island</t>
  </si>
  <si>
    <t>High-S</t>
  </si>
  <si>
    <t>Antarctica</t>
  </si>
  <si>
    <t>Kissinger Lakes (WRE)</t>
  </si>
  <si>
    <t>Republic</t>
  </si>
  <si>
    <t>Laguna del Hunco 6</t>
  </si>
  <si>
    <t>Patagonia</t>
  </si>
  <si>
    <t>Laguna del Hunco 13</t>
  </si>
  <si>
    <t xml:space="preserve"> 469, -328</t>
  </si>
  <si>
    <t>Laguna del Hunco 2</t>
  </si>
  <si>
    <t>Laguna del Hunco 4</t>
  </si>
  <si>
    <t>Wind River Interior</t>
  </si>
  <si>
    <t xml:space="preserve"> -460, +660</t>
  </si>
  <si>
    <t>Fifteenmile Creek</t>
  </si>
  <si>
    <t xml:space="preserve"> -344, +494</t>
  </si>
  <si>
    <t>PN</t>
  </si>
  <si>
    <t xml:space="preserve"> -331, +473</t>
  </si>
  <si>
    <t>Sourdough</t>
  </si>
  <si>
    <t xml:space="preserve"> +605, -422</t>
  </si>
  <si>
    <t>Cool Period</t>
  </si>
  <si>
    <t xml:space="preserve"> -398, +569</t>
  </si>
  <si>
    <t>Chickaloon</t>
  </si>
  <si>
    <t>Alaska</t>
  </si>
  <si>
    <t>Hanna Basin Level E</t>
  </si>
  <si>
    <t>South Fork Elk Creek</t>
  </si>
  <si>
    <t>Hubble Bubble</t>
  </si>
  <si>
    <t xml:space="preserve"> -370, +520</t>
  </si>
  <si>
    <t>Daiye Spa</t>
  </si>
  <si>
    <t>Paleocene</t>
  </si>
  <si>
    <t xml:space="preserve"> -523, +748</t>
  </si>
  <si>
    <t>Dead Platypus</t>
  </si>
  <si>
    <t>Clarkforkian</t>
  </si>
  <si>
    <t xml:space="preserve"> +636, -444</t>
  </si>
  <si>
    <t>Hanna Basin Level C</t>
  </si>
  <si>
    <t>Cerrejon</t>
  </si>
  <si>
    <t>Tropical South America</t>
  </si>
  <si>
    <t>2260-4640</t>
  </si>
  <si>
    <t>Lur'd Leaves</t>
  </si>
  <si>
    <t>Seymour Island</t>
  </si>
  <si>
    <t>Skeleton Coast</t>
  </si>
  <si>
    <t>Haz-Mat</t>
  </si>
  <si>
    <t>Kevin's Jerky</t>
  </si>
  <si>
    <t>Persites Paradise</t>
  </si>
  <si>
    <t>Menat</t>
  </si>
  <si>
    <t>Firkanten</t>
  </si>
  <si>
    <t>Las Flores</t>
  </si>
  <si>
    <t>Palacio de los Loros 2</t>
  </si>
  <si>
    <t>Castle Rock</t>
  </si>
  <si>
    <t xml:space="preserve"> +880, - 580</t>
  </si>
  <si>
    <t>Mexican Hat</t>
  </si>
  <si>
    <t>Palacio de los Loros 1</t>
  </si>
  <si>
    <t>Pyramid Butte</t>
  </si>
  <si>
    <t>Battleship</t>
  </si>
  <si>
    <t>Cretaceous</t>
  </si>
  <si>
    <t>Dean Street</t>
  </si>
  <si>
    <t>Lefipan East</t>
  </si>
  <si>
    <t>Somebody's Garden</t>
  </si>
  <si>
    <t>Luten's 4H Hadrosaur</t>
  </si>
  <si>
    <t>Aspelintoppen</t>
  </si>
  <si>
    <t>Unknown Paleogene</t>
  </si>
  <si>
    <t>Epoch</t>
  </si>
  <si>
    <t>Latitude Bin</t>
  </si>
  <si>
    <t>Depositional Environment</t>
  </si>
  <si>
    <t>MAT (deg. C)</t>
  </si>
  <si>
    <t>MAT Error</t>
  </si>
  <si>
    <t>MAP (mm/yr)</t>
  </si>
  <si>
    <t>MAP error</t>
  </si>
  <si>
    <t>Damage frequency (% of leaves with damage)</t>
  </si>
  <si>
    <t>Error, Damage Frequency</t>
  </si>
  <si>
    <t>Error, Spec. Damage Frequency</t>
  </si>
  <si>
    <t>Error, mine frequency</t>
  </si>
  <si>
    <t>Error, gall frequency</t>
  </si>
  <si>
    <t xml:space="preserve">Gall frequency </t>
  </si>
  <si>
    <t># Leaves in census</t>
  </si>
  <si>
    <t>Specialized damage frequency</t>
  </si>
  <si>
    <t xml:space="preserve">Mine frequency </t>
  </si>
  <si>
    <t>Hole feeding frequency</t>
  </si>
  <si>
    <t>Margin feeding frequency</t>
  </si>
  <si>
    <t>Skeletonization frequency</t>
  </si>
  <si>
    <t>Surface Feeding Frequency</t>
  </si>
  <si>
    <t>Piercing&amp;Sucking Frequency</t>
  </si>
  <si>
    <t>DTs at 300 leaves</t>
  </si>
  <si>
    <t>Error, DTs at 300 leaves</t>
  </si>
  <si>
    <t>Spec. DTs at 300 leaves</t>
  </si>
  <si>
    <t>Error, spec. DTs at 300 leaves</t>
  </si>
  <si>
    <t>Mine DTs at 300 leaves</t>
  </si>
  <si>
    <t>Error, mine DTs at 300 leaves</t>
  </si>
  <si>
    <t>Gall DTs at 300 leaves</t>
  </si>
  <si>
    <t>Error, gall DTs at 300 leaves</t>
  </si>
  <si>
    <t>Shannon diversity (plants)</t>
  </si>
  <si>
    <t>Pielou's J (plants)</t>
  </si>
  <si>
    <t># Plant species at 300 leaves</t>
  </si>
  <si>
    <t>Error, # plant species at 300 leaves</t>
  </si>
  <si>
    <t>Percent of DT Occurrences that are Specialized</t>
  </si>
  <si>
    <t xml:space="preserve"> -360, +510</t>
  </si>
  <si>
    <t>482, -491</t>
  </si>
  <si>
    <t>452 ,-316</t>
  </si>
  <si>
    <t>539, -376</t>
  </si>
  <si>
    <t xml:space="preserve"> -1079, +2214</t>
  </si>
  <si>
    <t xml:space="preserve"> 612,-428</t>
  </si>
  <si>
    <t xml:space="preserve"> -328, +470</t>
  </si>
  <si>
    <t xml:space="preserve"> 427, -298</t>
  </si>
  <si>
    <t xml:space="preserve"> -362, +519</t>
  </si>
  <si>
    <t>Adroit et al. 2016, 2018</t>
  </si>
  <si>
    <t>Adroit et al. 2018</t>
  </si>
  <si>
    <t>Möller et al. 2017</t>
  </si>
  <si>
    <t>Knor et al. 2012, 2013, 2015</t>
  </si>
  <si>
    <t>Currano and Jacobs (submitted)</t>
  </si>
  <si>
    <t>Wappler 2010</t>
  </si>
  <si>
    <t>Gunkel and Wappler 2015</t>
  </si>
  <si>
    <t>Currano et al. 2011</t>
  </si>
  <si>
    <t>Deng et al. 2020</t>
  </si>
  <si>
    <t>Smith 2008</t>
  </si>
  <si>
    <t>Wappler and Denk 2011</t>
  </si>
  <si>
    <t>Müller et al. 2018</t>
  </si>
  <si>
    <t>Wappler and Ben-Dov 2008; Wappler et al. 2012</t>
  </si>
  <si>
    <t>Wilf et al. 2001</t>
  </si>
  <si>
    <t>Wappler et al. 2012</t>
  </si>
  <si>
    <t>McDonald 2009</t>
  </si>
  <si>
    <t>Currano et al. 2019</t>
  </si>
  <si>
    <t>Labandeira 2002</t>
  </si>
  <si>
    <t>Wilf et al. 2005</t>
  </si>
  <si>
    <t>Currano 2009, Currano et al. 2010</t>
  </si>
  <si>
    <t>Currano et al. 2010</t>
  </si>
  <si>
    <t>Wilf and Labandeira 1999; Wilf et al. 2001; Wilf et al. 2006</t>
  </si>
  <si>
    <t>Sunderlin et al. 2011; Brannick et al. 2012</t>
  </si>
  <si>
    <t>Azevedo Schmidt et al. 2019</t>
  </si>
  <si>
    <t>Currano et al. 2008, 2010; Currano 2009</t>
  </si>
  <si>
    <t>Currano et al. 2008, 2010</t>
  </si>
  <si>
    <t>Wing et al. 2009</t>
  </si>
  <si>
    <t>Wilf et al. 2006; Currano et al. 2010</t>
  </si>
  <si>
    <t>Wilf et al. 2006</t>
  </si>
  <si>
    <t>Wappler et al. 2009</t>
  </si>
  <si>
    <t>Donovan et al. 2016, 2018</t>
  </si>
  <si>
    <t>Wilf et al. 2006; Donovan et al. 2014</t>
  </si>
  <si>
    <t>Labandeira et al. 2002; Wilf et al. 2006</t>
  </si>
  <si>
    <t>Citation for insect herbivory</t>
  </si>
  <si>
    <t>Domínguez et al. 2018</t>
  </si>
  <si>
    <t>Wappler and Grímsson 2016</t>
  </si>
  <si>
    <t>Wappler and Grímsson 2017</t>
  </si>
  <si>
    <t>Wappler and Grímsson 2018</t>
  </si>
  <si>
    <t>Wappler and Grímsson 2019</t>
  </si>
  <si>
    <r>
      <t xml:space="preserve">Adroit, B., Wappler, T., Terral, J.-F., Ali, A.A., Girard, V., 2016. Bernasso, a paleoforest from the early Pleistocene: New input from plant–insect interactions (Hérault, France). </t>
    </r>
    <r>
      <rPr>
        <i/>
        <sz val="12"/>
        <color theme="1"/>
        <rFont val="Times New Roman"/>
      </rPr>
      <t>Palaeogeography, Palaeoclimatology, Palaeoecology</t>
    </r>
    <r>
      <rPr>
        <sz val="12"/>
        <color theme="1"/>
        <rFont val="Times New Roman"/>
      </rPr>
      <t xml:space="preserve"> 446, 78-84.</t>
    </r>
  </si>
  <si>
    <r>
      <t xml:space="preserve">Adroit, B., Girard, V., Kunzmann, L., Terral, J.-F., Wappler, T., 2018. Plant-insect interactions patterns in three European paleoforests of the late-Neogene—early-Quaternary. </t>
    </r>
    <r>
      <rPr>
        <i/>
        <sz val="12"/>
        <color theme="1"/>
        <rFont val="Times New Roman"/>
      </rPr>
      <t>PeerJ</t>
    </r>
    <r>
      <rPr>
        <sz val="12"/>
        <color theme="1"/>
        <rFont val="Times New Roman"/>
      </rPr>
      <t xml:space="preserve"> 6, e5075.</t>
    </r>
  </si>
  <si>
    <r>
      <t xml:space="preserve">Azevedo Schmidt, L.E., Dunn, R.E., Mercer, J., Dechesne, M., Currano, E.D., 2019. Plant and insect herbivore community variation across the Paleocene-Eocene boundary in the Hanna Basin, southeastern Wyoming. </t>
    </r>
    <r>
      <rPr>
        <i/>
        <sz val="12"/>
        <color theme="1"/>
        <rFont val="Times New Roman"/>
      </rPr>
      <t>PeerJ</t>
    </r>
    <r>
      <rPr>
        <sz val="12"/>
        <color theme="1"/>
        <rFont val="Times New Roman"/>
      </rPr>
      <t xml:space="preserve"> 7</t>
    </r>
    <r>
      <rPr>
        <i/>
        <sz val="12"/>
        <color theme="1"/>
        <rFont val="Times New Roman"/>
      </rPr>
      <t>,</t>
    </r>
    <r>
      <rPr>
        <sz val="12"/>
        <color theme="1"/>
        <rFont val="Times New Roman"/>
      </rPr>
      <t xml:space="preserve"> e7798.</t>
    </r>
  </si>
  <si>
    <r>
      <t xml:space="preserve">Brannick, A., Sunderlin, D., Williams, C.J. and Lerback, J., 2012. Leaf damage intensity and diversity in the Paleogene Chickaloon and Arkose Ridge formations, south-central Alaska. </t>
    </r>
    <r>
      <rPr>
        <i/>
        <sz val="12"/>
        <color rgb="FF222222"/>
        <rFont val="Times New Roman"/>
      </rPr>
      <t>Geological Society of America Abstracts with Programs</t>
    </r>
    <r>
      <rPr>
        <sz val="12"/>
        <color rgb="FF222222"/>
        <rFont val="Times New Roman"/>
      </rPr>
      <t> Vol. 44, No. 2, p. 64.</t>
    </r>
  </si>
  <si>
    <r>
      <t xml:space="preserve">Currano, E.D., 2009. Patchiness and long-term change in early Eocene insect feeding damage. </t>
    </r>
    <r>
      <rPr>
        <i/>
        <sz val="12"/>
        <color theme="1"/>
        <rFont val="Times New Roman"/>
      </rPr>
      <t>Paleobiology</t>
    </r>
    <r>
      <rPr>
        <sz val="12"/>
        <color theme="1"/>
        <rFont val="Times New Roman"/>
      </rPr>
      <t xml:space="preserve"> 35, 484-498.</t>
    </r>
  </si>
  <si>
    <r>
      <t xml:space="preserve">Currano, E.D. and Jacobs, B.F., </t>
    </r>
    <r>
      <rPr>
        <i/>
        <sz val="12"/>
        <color theme="1"/>
        <rFont val="Times New Roman"/>
      </rPr>
      <t>submitted</t>
    </r>
    <r>
      <rPr>
        <sz val="12"/>
        <color theme="1"/>
        <rFont val="Times New Roman"/>
      </rPr>
      <t>. Ancient bug bitten leaves from the early Miocene of Ethiopia elucidate the impacts of climate and plant nutrient concentrations on insect herbivore communities.</t>
    </r>
  </si>
  <si>
    <r>
      <t xml:space="preserve">Currano, E.D., Wilf, P., Wing, S.L., Labandeira, C.C., Lovelock, E.C., Royer, D.L., 2008. Sharply increased insect herbivory during the Paleocene-Eocene Thermal Maximum. </t>
    </r>
    <r>
      <rPr>
        <i/>
        <sz val="12"/>
        <color theme="1"/>
        <rFont val="Times New Roman"/>
      </rPr>
      <t>PNAS</t>
    </r>
    <r>
      <rPr>
        <sz val="12"/>
        <color theme="1"/>
        <rFont val="Times New Roman"/>
      </rPr>
      <t xml:space="preserve"> 105, 1960-1964.</t>
    </r>
  </si>
  <si>
    <r>
      <t xml:space="preserve">Currano, E.D., Labandeira, C.C., Wilf, P., 2010. Fossil insect folivory tracks paleotemperature for six million years. </t>
    </r>
    <r>
      <rPr>
        <i/>
        <sz val="12"/>
        <color theme="1"/>
        <rFont val="Times New Roman"/>
      </rPr>
      <t>Ecological Monographs</t>
    </r>
    <r>
      <rPr>
        <sz val="12"/>
        <color theme="1"/>
        <rFont val="Times New Roman"/>
      </rPr>
      <t xml:space="preserve"> 80, 547-567.</t>
    </r>
  </si>
  <si>
    <r>
      <t xml:space="preserve">Currano, E.D., Jacobs, B.F., Pan, A.D., Tabor, N.J., 2011. Inferring ecological disturbance in the fossil record: A case study from the late Oligocene of Ethiopia. </t>
    </r>
    <r>
      <rPr>
        <i/>
        <sz val="12"/>
        <color theme="1"/>
        <rFont val="Times New Roman"/>
      </rPr>
      <t>Palaeogeography, Palaeoclimatology, Palaeoecology</t>
    </r>
    <r>
      <rPr>
        <sz val="12"/>
        <color theme="1"/>
        <rFont val="Times New Roman"/>
      </rPr>
      <t xml:space="preserve"> 309, 242-252.</t>
    </r>
  </si>
  <si>
    <r>
      <t xml:space="preserve">Currano, E.D., Pinheiro, E.R.S., Buchwaldt, R., Clyde, W.C., Miller, I.M., 2019. Endemism in Wyoming plant and insect herbivore communities during the early Eocene hothouse. </t>
    </r>
    <r>
      <rPr>
        <i/>
        <sz val="12"/>
        <color theme="1"/>
        <rFont val="Times New Roman"/>
      </rPr>
      <t xml:space="preserve">Paleobiology </t>
    </r>
    <r>
      <rPr>
        <sz val="12"/>
        <color theme="1"/>
        <rFont val="Times New Roman"/>
      </rPr>
      <t>45, 421-439.</t>
    </r>
  </si>
  <si>
    <r>
      <t xml:space="preserve">Deng, W., Su, T., Wappler, T., Liu, J., Li, S., Huang, J., Tang, H., Low, S.L., Wang, T., Xu, H., Xu, X., Liu, P., Zhou, Z., 2020. Sharp changes in plant diversity and plant-herbivore interactions during the Eocene–Oligocene transition on the southeastern Qinghai-Tibetan Plateau. </t>
    </r>
    <r>
      <rPr>
        <i/>
        <sz val="12"/>
        <color theme="1"/>
        <rFont val="Times New Roman"/>
      </rPr>
      <t>Global and Planetary Change</t>
    </r>
    <r>
      <rPr>
        <sz val="12"/>
        <color theme="1"/>
        <rFont val="Times New Roman"/>
      </rPr>
      <t xml:space="preserve"> 194, 103293.</t>
    </r>
  </si>
  <si>
    <r>
      <t xml:space="preserve">Donovan, M.P., Wilf, P., Labandeira, C.C., Johnson, K.R., Peppe, D.J., 2014. Novel Insect Leaf-Mining after the End-Cretaceous Extinction and the Demise of Cretaceous Leaf Miners, Great Plains, USA. </t>
    </r>
    <r>
      <rPr>
        <i/>
        <sz val="12"/>
        <color theme="1"/>
        <rFont val="Times New Roman"/>
      </rPr>
      <t>PLoS One</t>
    </r>
    <r>
      <rPr>
        <sz val="12"/>
        <color theme="1"/>
        <rFont val="Times New Roman"/>
      </rPr>
      <t xml:space="preserve"> 9, e103542.</t>
    </r>
  </si>
  <si>
    <r>
      <t xml:space="preserve">Donovan, M., Iglesias, A., Wilf, P., Labandeira, C., Cúneo, N., 2016. Rapid recovery of Patagonian plant–insect associations after the end-Cretaceous extinction. </t>
    </r>
    <r>
      <rPr>
        <i/>
        <sz val="12"/>
        <color theme="1"/>
        <rFont val="Times New Roman"/>
      </rPr>
      <t>Nature Ecology and Evolution</t>
    </r>
    <r>
      <rPr>
        <sz val="12"/>
        <color theme="1"/>
        <rFont val="Times New Roman"/>
      </rPr>
      <t xml:space="preserve"> 1: 0012.</t>
    </r>
  </si>
  <si>
    <r>
      <t xml:space="preserve">Donovan, M.P., Iglesias, A., Wilf, P., Labandeira, C.C., Cúneo, N.R., 2018. Diverse plant-insect associations from the latest Cretaceous and early Paleocene of Patagonia, Argentina. </t>
    </r>
    <r>
      <rPr>
        <i/>
        <sz val="12"/>
        <color theme="1"/>
        <rFont val="Times New Roman"/>
      </rPr>
      <t>Ameghiniana</t>
    </r>
    <r>
      <rPr>
        <sz val="12"/>
        <color theme="1"/>
        <rFont val="Times New Roman"/>
      </rPr>
      <t xml:space="preserve"> 55, 303-338.</t>
    </r>
  </si>
  <si>
    <r>
      <t xml:space="preserve">Gunkel, S., Wappler, T., 2015. Plant-insect interactions in the upper Oligocene of Enspel (Westerwald, Germany), including an extended mathematical framework for rarefaction. </t>
    </r>
    <r>
      <rPr>
        <i/>
        <sz val="12"/>
        <color theme="1"/>
        <rFont val="Times New Roman"/>
      </rPr>
      <t>Palaeobiodiversity and Palaeoenvironments</t>
    </r>
    <r>
      <rPr>
        <sz val="12"/>
        <color theme="1"/>
        <rFont val="Times New Roman"/>
      </rPr>
      <t xml:space="preserve"> 95, 55-75.</t>
    </r>
  </si>
  <si>
    <r>
      <t>Knor, S., Prokop, J., Kva</t>
    </r>
    <r>
      <rPr>
        <sz val="12"/>
        <color rgb="FF222222"/>
        <rFont val="Times New Roman"/>
      </rPr>
      <t>č</t>
    </r>
    <r>
      <rPr>
        <sz val="12"/>
        <color theme="1"/>
        <rFont val="Times New Roman"/>
      </rPr>
      <t xml:space="preserve">ek, Z., Janovsky, Z., Wappler, T., 2012. Plant-arthropod associations from the Early Miocene of the Most Basin in North Bohemia-Palaeoecological and palaeoclimatological implications. </t>
    </r>
    <r>
      <rPr>
        <i/>
        <sz val="12"/>
        <color theme="1"/>
        <rFont val="Times New Roman"/>
      </rPr>
      <t>Palaeogeography, Palaeoclimatology, Palaeoecology</t>
    </r>
    <r>
      <rPr>
        <sz val="12"/>
        <color theme="1"/>
        <rFont val="Times New Roman"/>
      </rPr>
      <t xml:space="preserve"> 321, 102-112.</t>
    </r>
  </si>
  <si>
    <r>
      <t>Knor, S., Skuhravá, M., Wappler, T. and Prokop, J., 2013. Galls and gall makers on plant leaves from the lower Miocene (Burdigalian) of the Czech Republic: systematic and palaeoecological implications. </t>
    </r>
    <r>
      <rPr>
        <i/>
        <sz val="12"/>
        <color theme="1"/>
        <rFont val="Times New Roman"/>
      </rPr>
      <t>Review of Palaeobotany and Palynology</t>
    </r>
    <r>
      <rPr>
        <sz val="12"/>
        <color theme="1"/>
        <rFont val="Times New Roman"/>
      </rPr>
      <t>, </t>
    </r>
    <r>
      <rPr>
        <i/>
        <sz val="12"/>
        <color theme="1"/>
        <rFont val="Times New Roman"/>
      </rPr>
      <t>188</t>
    </r>
    <r>
      <rPr>
        <sz val="12"/>
        <color theme="1"/>
        <rFont val="Times New Roman"/>
      </rPr>
      <t>, 38-51.</t>
    </r>
  </si>
  <si>
    <r>
      <t>Knor, S., Kvaček, Z., Wappler, T. and Prokop, J., 2015. Diversity, taphonomy and palaeoecology of plant–arthropod interactions in the lower Miocene (Burdigalian) in the Most Basin in north-western Bohemia (Czech Republic). </t>
    </r>
    <r>
      <rPr>
        <i/>
        <sz val="12"/>
        <color rgb="FF222222"/>
        <rFont val="Times New Roman"/>
      </rPr>
      <t>Review of Palaeobotany and Palynology</t>
    </r>
    <r>
      <rPr>
        <sz val="12"/>
        <color rgb="FF222222"/>
        <rFont val="Times New Roman"/>
      </rPr>
      <t> </t>
    </r>
    <r>
      <rPr>
        <i/>
        <sz val="12"/>
        <color rgb="FF222222"/>
        <rFont val="Times New Roman"/>
      </rPr>
      <t>219</t>
    </r>
    <r>
      <rPr>
        <sz val="12"/>
        <color rgb="FF222222"/>
        <rFont val="Times New Roman"/>
      </rPr>
      <t>, 52-70.</t>
    </r>
  </si>
  <si>
    <r>
      <t xml:space="preserve">Labandeira, C.C., 2002. Paleobiology of middle Eocene plant-insect associations from the Pacific Northwest: A preliminary report. </t>
    </r>
    <r>
      <rPr>
        <i/>
        <sz val="12"/>
        <color theme="1"/>
        <rFont val="Times New Roman"/>
      </rPr>
      <t>Rocky Mountain Geology</t>
    </r>
    <r>
      <rPr>
        <sz val="12"/>
        <color theme="1"/>
        <rFont val="Times New Roman"/>
      </rPr>
      <t xml:space="preserve"> 37, 31-59.</t>
    </r>
  </si>
  <si>
    <r>
      <t xml:space="preserve">Labandeira, C.C., Johnson, K.R., Wilf, P., 2002 Impact of the terminal Cretaceous event on plant-insect associations. </t>
    </r>
    <r>
      <rPr>
        <i/>
        <sz val="12"/>
        <color theme="1"/>
        <rFont val="Times New Roman"/>
      </rPr>
      <t>PNAS</t>
    </r>
    <r>
      <rPr>
        <sz val="12"/>
        <color theme="1"/>
        <rFont val="Times New Roman"/>
      </rPr>
      <t xml:space="preserve"> 99, 2061-2066.</t>
    </r>
  </si>
  <si>
    <t>McDonald, C.M., 2009. Herbivory in Antarctic fossil forests and comparisons with modern analogues in Chile, School of Earth and Environment. University of Leeds, p. 295.</t>
  </si>
  <si>
    <r>
      <t xml:space="preserve">Möller, A.L., Kaulfuss, U., Lee, D.E., Wappler, T., 2017. High richness of insect herbivory from the early Miocene Hindon Maar crater, Otago, New Zealand. </t>
    </r>
    <r>
      <rPr>
        <i/>
        <sz val="12"/>
        <color theme="1"/>
        <rFont val="Times New Roman"/>
      </rPr>
      <t>PeerJ</t>
    </r>
    <r>
      <rPr>
        <sz val="12"/>
        <color theme="1"/>
        <rFont val="Times New Roman"/>
      </rPr>
      <t xml:space="preserve"> 5, e2985.</t>
    </r>
  </si>
  <si>
    <r>
      <t xml:space="preserve">Müller, C., Wappler, T., Kunzmann, L., 2018. Insect herbivory patterns in late Eocene coastal lowland riparian associations from central Germany. </t>
    </r>
    <r>
      <rPr>
        <i/>
        <sz val="12"/>
        <color theme="1"/>
        <rFont val="Times New Roman"/>
      </rPr>
      <t>Palaeogeography, Palaeoclimatology, Palaeoecology</t>
    </r>
    <r>
      <rPr>
        <sz val="12"/>
        <color theme="1"/>
        <rFont val="Times New Roman"/>
      </rPr>
      <t xml:space="preserve"> 491, 170-184.</t>
    </r>
  </si>
  <si>
    <r>
      <t xml:space="preserve">Smith, D.M., 2008. A comparison of plant-insect associations in the middle Eocene Green River Formation and the Upper Eocene Florissant Formation and their climatic implications, in: Meyer, H.W., Smith, D.M. (Eds.), </t>
    </r>
    <r>
      <rPr>
        <i/>
        <sz val="12"/>
        <color theme="1"/>
        <rFont val="Times New Roman"/>
      </rPr>
      <t>Paleontology of the Upper Eocene Florissant Formation, Colorado: Geological Society of America Special Paper 435</t>
    </r>
    <r>
      <rPr>
        <sz val="12"/>
        <color theme="1"/>
        <rFont val="Times New Roman"/>
      </rPr>
      <t>. The Geological Society of America, pp. 89–103.</t>
    </r>
  </si>
  <si>
    <r>
      <t xml:space="preserve">Sunderlin, D., Loope, G., Parker, N.E., Williams, C.J., 2011. Paleoclimatic and paleoecological implications of a Paleocene-Eocene fossil leaf assemblage, Chickaloon Formation, Alaska. </t>
    </r>
    <r>
      <rPr>
        <i/>
        <sz val="12"/>
        <color theme="1"/>
        <rFont val="Times New Roman"/>
      </rPr>
      <t>Palaios</t>
    </r>
    <r>
      <rPr>
        <sz val="12"/>
        <color theme="1"/>
        <rFont val="Times New Roman"/>
      </rPr>
      <t xml:space="preserve"> 26, 335-345.</t>
    </r>
  </si>
  <si>
    <r>
      <t xml:space="preserve">Wappler, T., 2010. Insect herbivory close to the Oligocene-Miocene transition - A quantitative analysis. </t>
    </r>
    <r>
      <rPr>
        <i/>
        <sz val="12"/>
        <color theme="1"/>
        <rFont val="Times New Roman"/>
      </rPr>
      <t>Palaeogeography, Palaeoclimatology, Palaeoecology</t>
    </r>
    <r>
      <rPr>
        <sz val="12"/>
        <color theme="1"/>
        <rFont val="Times New Roman"/>
      </rPr>
      <t xml:space="preserve"> 292, 540-550.</t>
    </r>
  </si>
  <si>
    <r>
      <t>Wappler, T. and Ben-Dov, Y., 2008. Preservation of armoured scale insects on angiosperm leaves from the Eocene of Germany. </t>
    </r>
    <r>
      <rPr>
        <i/>
        <sz val="12"/>
        <color theme="1"/>
        <rFont val="Times New Roman"/>
      </rPr>
      <t>Acta Palaeontologica Polonica</t>
    </r>
    <r>
      <rPr>
        <sz val="12"/>
        <color theme="1"/>
        <rFont val="Times New Roman"/>
      </rPr>
      <t> </t>
    </r>
    <r>
      <rPr>
        <i/>
        <sz val="12"/>
        <color theme="1"/>
        <rFont val="Times New Roman"/>
      </rPr>
      <t>53</t>
    </r>
    <r>
      <rPr>
        <sz val="12"/>
        <color theme="1"/>
        <rFont val="Times New Roman"/>
      </rPr>
      <t>, 627-634.</t>
    </r>
  </si>
  <si>
    <r>
      <t xml:space="preserve">Wappler, T., Denk, T., 2011. Herbivory in early Tertiary Arctic forests. </t>
    </r>
    <r>
      <rPr>
        <i/>
        <sz val="12"/>
        <color theme="1"/>
        <rFont val="Times New Roman"/>
      </rPr>
      <t>Palaeogeography, Palaeoclimatology, Palaeoecology</t>
    </r>
    <r>
      <rPr>
        <sz val="12"/>
        <color theme="1"/>
        <rFont val="Times New Roman"/>
      </rPr>
      <t xml:space="preserve"> 310, 283-295.</t>
    </r>
  </si>
  <si>
    <r>
      <t xml:space="preserve">Wappler, T., Grímsson, F., 2016. Before the 'Big Chill': Patterns of plant-insect associations from the Neogene of Iceland. </t>
    </r>
    <r>
      <rPr>
        <i/>
        <sz val="12"/>
        <color theme="1"/>
        <rFont val="Times New Roman"/>
      </rPr>
      <t>Global and Planetary Change</t>
    </r>
    <r>
      <rPr>
        <sz val="12"/>
        <color theme="1"/>
        <rFont val="Times New Roman"/>
      </rPr>
      <t xml:space="preserve"> 142, 73-86.</t>
    </r>
  </si>
  <si>
    <r>
      <t xml:space="preserve">Wappler, T., Currano, E.D., Wilf, P., Rust, J., Labandeira, C.C., 2009. No post-Cretaceous ecosystem depression in European forests? Rich insect-feeding damage on diverse middle Palaeocene plants, Menat, France. </t>
    </r>
    <r>
      <rPr>
        <i/>
        <sz val="12"/>
        <color theme="1"/>
        <rFont val="Times New Roman"/>
      </rPr>
      <t xml:space="preserve">Proceedings of the Royal Society B </t>
    </r>
    <r>
      <rPr>
        <sz val="12"/>
        <color theme="1"/>
        <rFont val="Times New Roman"/>
      </rPr>
      <t>276, 4271-4277.</t>
    </r>
  </si>
  <si>
    <r>
      <t xml:space="preserve">Wappler, T., Labandeira, C.C., Rust, J., Frankenhäuser, H., Wilde, V., 2012. Testing for the effects and consequences of mid Paleogene climate change on insect herbivory. </t>
    </r>
    <r>
      <rPr>
        <i/>
        <sz val="12"/>
        <color theme="1"/>
        <rFont val="Times New Roman"/>
      </rPr>
      <t>PLoS One</t>
    </r>
    <r>
      <rPr>
        <sz val="12"/>
        <color theme="1"/>
        <rFont val="Times New Roman"/>
      </rPr>
      <t xml:space="preserve"> 7, e40744.</t>
    </r>
  </si>
  <si>
    <r>
      <t xml:space="preserve">Wilf, P., Labandeira, C.C., 1999. Response of plant-insect associations to Paleocene-Eocene warming. </t>
    </r>
    <r>
      <rPr>
        <i/>
        <sz val="12"/>
        <color theme="1"/>
        <rFont val="Times New Roman"/>
      </rPr>
      <t xml:space="preserve">Science </t>
    </r>
    <r>
      <rPr>
        <sz val="12"/>
        <color theme="1"/>
        <rFont val="Times New Roman"/>
      </rPr>
      <t>284, 2153-2156.</t>
    </r>
  </si>
  <si>
    <r>
      <t xml:space="preserve">Wilf, P., Labandeira, C.C., Johnson, K.R., Coley, P.D., Cutter, A.D., 2001. Insect herbivory, plant defense, and early Cenozoic climate change. </t>
    </r>
    <r>
      <rPr>
        <i/>
        <sz val="12"/>
        <color theme="1"/>
        <rFont val="Times New Roman"/>
      </rPr>
      <t>PNAS</t>
    </r>
    <r>
      <rPr>
        <sz val="12"/>
        <color theme="1"/>
        <rFont val="Times New Roman"/>
      </rPr>
      <t xml:space="preserve"> 98, 6221-6226.</t>
    </r>
  </si>
  <si>
    <r>
      <t xml:space="preserve">Wilf, P., Labandeira, C.C., Johnson, K.R., Cuneo, N.R., 2005. Richness of plant-insect associations in Eocene Patagonia: A legacy for South American biodiversity. </t>
    </r>
    <r>
      <rPr>
        <i/>
        <sz val="12"/>
        <color theme="1"/>
        <rFont val="Times New Roman"/>
      </rPr>
      <t>PNAS</t>
    </r>
    <r>
      <rPr>
        <sz val="12"/>
        <color theme="1"/>
        <rFont val="Times New Roman"/>
      </rPr>
      <t xml:space="preserve"> 102, 8944-8948.</t>
    </r>
  </si>
  <si>
    <r>
      <t xml:space="preserve">Wilf, P., Labandeira, C.C., Johnson, K.R., Ellis, B., 2006. Decoupled plant and insect diversity after the end-Cretaceous extinction. </t>
    </r>
    <r>
      <rPr>
        <i/>
        <sz val="12"/>
        <color theme="1"/>
        <rFont val="Times New Roman"/>
      </rPr>
      <t>Science</t>
    </r>
    <r>
      <rPr>
        <sz val="12"/>
        <color theme="1"/>
        <rFont val="Times New Roman"/>
      </rPr>
      <t xml:space="preserve"> 313, 1112-1115.</t>
    </r>
  </si>
  <si>
    <r>
      <t xml:space="preserve">Wing, S.L., Herrera, F., Jaramillo, C.A., Gómez-Navarro, C., Wilf, P., Labandeira, C.C., 2009. Late Paleocene fossils from the Cerrejón Formation, Colombia, are the earliest record of Neotropical rainforest. </t>
    </r>
    <r>
      <rPr>
        <i/>
        <sz val="12"/>
        <color theme="1"/>
        <rFont val="Times New Roman"/>
      </rPr>
      <t>PNAS</t>
    </r>
    <r>
      <rPr>
        <sz val="12"/>
        <color theme="1"/>
        <rFont val="Times New Roman"/>
      </rPr>
      <t xml:space="preserve"> 106, 18627-18632.</t>
    </r>
  </si>
  <si>
    <t>Full Bibliographic Information for all Insect Damage Census Data</t>
  </si>
  <si>
    <r>
      <t xml:space="preserve">Moreno-Domínguez, R.M., 2018. Primeras interacciones planta-insecto del Oligoceno de la Península Ibérica. </t>
    </r>
    <r>
      <rPr>
        <i/>
        <sz val="12"/>
        <color theme="1"/>
        <rFont val="Times New Roman"/>
      </rPr>
      <t>Revista de la Sociedad Geológica de España</t>
    </r>
    <r>
      <rPr>
        <sz val="12"/>
        <color theme="1"/>
        <rFont val="Times New Roman"/>
      </rPr>
      <t xml:space="preserve"> 31, 19-28.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</si>
</sst>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11111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 (Body)"/>
    </font>
    <font>
      <sz val="8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sz val="12"/>
      <color rgb="FF222222"/>
      <name val="Times New Roman"/>
    </font>
    <font>
      <i/>
      <sz val="12"/>
      <color rgb="FF222222"/>
      <name val="Times New Roman"/>
    </font>
    <font>
      <b/>
      <sz val="18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5" fillId="0" borderId="0" xfId="0" applyFont="1"/>
    <xf numFmtId="1" fontId="2" fillId="0" borderId="5" xfId="0" applyNumberFormat="1" applyFont="1" applyBorder="1" applyAlignment="1">
      <alignment vertical="center" wrapText="1"/>
    </xf>
    <xf numFmtId="0" fontId="4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5" xfId="0" applyFont="1" applyBorder="1"/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2" fontId="3" fillId="0" borderId="6" xfId="0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horizontal="right" vertical="center"/>
    </xf>
    <xf numFmtId="2" fontId="3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1" fillId="0" borderId="1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27"/>
  <sheetViews>
    <sheetView workbookViewId="0">
      <selection activeCell="A2" sqref="A2:XFD2"/>
    </sheetView>
  </sheetViews>
  <sheetFormatPr baseColWidth="10" defaultColWidth="14.5" defaultRowHeight="16" x14ac:dyDescent="0.2"/>
  <cols>
    <col min="1" max="1" width="23" style="50" customWidth="1"/>
    <col min="2" max="2" width="23.5" style="74" customWidth="1"/>
    <col min="3" max="3" width="11.5" style="51" customWidth="1"/>
    <col min="4" max="4" width="8.6640625" style="51" customWidth="1"/>
    <col min="5" max="5" width="12" style="51" customWidth="1"/>
    <col min="6" max="6" width="10.1640625" style="45" customWidth="1"/>
    <col min="7" max="7" width="7.33203125" style="45" customWidth="1"/>
    <col min="8" max="9" width="8" style="45" customWidth="1"/>
    <col min="10" max="10" width="7.83203125" style="45" customWidth="1"/>
    <col min="11" max="11" width="8.33203125" style="45" customWidth="1"/>
    <col min="12" max="12" width="9.5" style="45" customWidth="1"/>
    <col min="13" max="13" width="6.83203125" style="52" customWidth="1"/>
    <col min="14" max="14" width="15" style="45" customWidth="1"/>
    <col min="15" max="15" width="8.83203125" style="45" customWidth="1"/>
    <col min="16" max="16" width="11.83203125" style="45" customWidth="1"/>
    <col min="17" max="17" width="10.1640625" style="45" customWidth="1"/>
    <col min="18" max="18" width="8.1640625" style="45" customWidth="1"/>
    <col min="19" max="19" width="8" style="45" customWidth="1"/>
    <col min="20" max="20" width="7.33203125" style="45" customWidth="1"/>
    <col min="21" max="21" width="7.6640625" style="45" customWidth="1"/>
    <col min="22" max="22" width="8.1640625" style="45" customWidth="1"/>
    <col min="23" max="23" width="10.1640625" style="45" customWidth="1"/>
    <col min="24" max="24" width="7.1640625" style="45" customWidth="1"/>
    <col min="25" max="25" width="9.6640625" style="45" customWidth="1"/>
    <col min="26" max="26" width="12" style="45" customWidth="1"/>
    <col min="27" max="27" width="15.6640625" style="45" customWidth="1"/>
    <col min="28" max="28" width="9.5" style="45" customWidth="1"/>
    <col min="29" max="29" width="9.83203125" style="45" customWidth="1"/>
    <col min="30" max="35" width="10.83203125" style="45" customWidth="1"/>
    <col min="36" max="36" width="8.6640625" style="45" customWidth="1"/>
    <col min="37" max="37" width="7.5" style="45" customWidth="1"/>
    <col min="38" max="38" width="9.5" style="45" customWidth="1"/>
    <col min="39" max="39" width="8.6640625" style="45" customWidth="1"/>
    <col min="40" max="16384" width="14.5" style="45"/>
  </cols>
  <sheetData>
    <row r="1" spans="1:39" ht="60" x14ac:dyDescent="0.2">
      <c r="A1" s="1" t="s">
        <v>0</v>
      </c>
      <c r="B1" s="67" t="s">
        <v>192</v>
      </c>
      <c r="C1" s="2" t="s">
        <v>116</v>
      </c>
      <c r="D1" s="2" t="s">
        <v>117</v>
      </c>
      <c r="E1" s="2" t="s">
        <v>1</v>
      </c>
      <c r="F1" s="3" t="s">
        <v>118</v>
      </c>
      <c r="G1" s="2" t="s">
        <v>2</v>
      </c>
      <c r="H1" s="2" t="s">
        <v>3</v>
      </c>
      <c r="I1" s="2" t="s">
        <v>119</v>
      </c>
      <c r="J1" s="2" t="s">
        <v>120</v>
      </c>
      <c r="K1" s="4" t="s">
        <v>121</v>
      </c>
      <c r="L1" s="5" t="s">
        <v>122</v>
      </c>
      <c r="M1" s="6" t="s">
        <v>129</v>
      </c>
      <c r="N1" s="7" t="s">
        <v>123</v>
      </c>
      <c r="O1" s="7" t="s">
        <v>124</v>
      </c>
      <c r="P1" s="7" t="s">
        <v>130</v>
      </c>
      <c r="Q1" s="7" t="s">
        <v>125</v>
      </c>
      <c r="R1" s="7" t="s">
        <v>131</v>
      </c>
      <c r="S1" s="7" t="s">
        <v>126</v>
      </c>
      <c r="T1" s="7" t="s">
        <v>128</v>
      </c>
      <c r="U1" s="7" t="s">
        <v>127</v>
      </c>
      <c r="V1" s="7" t="s">
        <v>132</v>
      </c>
      <c r="W1" s="7" t="s">
        <v>133</v>
      </c>
      <c r="X1" s="7" t="s">
        <v>134</v>
      </c>
      <c r="Y1" s="2" t="s">
        <v>135</v>
      </c>
      <c r="Z1" s="8" t="s">
        <v>136</v>
      </c>
      <c r="AA1" s="66" t="s">
        <v>149</v>
      </c>
      <c r="AB1" s="7" t="s">
        <v>137</v>
      </c>
      <c r="AC1" s="7" t="s">
        <v>138</v>
      </c>
      <c r="AD1" s="7" t="s">
        <v>139</v>
      </c>
      <c r="AE1" s="7" t="s">
        <v>140</v>
      </c>
      <c r="AF1" s="7" t="s">
        <v>141</v>
      </c>
      <c r="AG1" s="7" t="s">
        <v>142</v>
      </c>
      <c r="AH1" s="7" t="s">
        <v>143</v>
      </c>
      <c r="AI1" s="8" t="s">
        <v>144</v>
      </c>
      <c r="AJ1" s="7" t="s">
        <v>145</v>
      </c>
      <c r="AK1" s="7" t="s">
        <v>146</v>
      </c>
      <c r="AL1" s="7" t="s">
        <v>147</v>
      </c>
      <c r="AM1" s="54" t="s">
        <v>148</v>
      </c>
    </row>
    <row r="2" spans="1:39" s="46" customFormat="1" ht="15" x14ac:dyDescent="0.2">
      <c r="A2" s="9" t="s">
        <v>4</v>
      </c>
      <c r="B2" s="68" t="s">
        <v>159</v>
      </c>
      <c r="C2" s="10" t="s">
        <v>5</v>
      </c>
      <c r="D2" s="10" t="s">
        <v>6</v>
      </c>
      <c r="E2" s="10" t="s">
        <v>7</v>
      </c>
      <c r="F2" s="11" t="s">
        <v>8</v>
      </c>
      <c r="G2" s="10">
        <v>2.06</v>
      </c>
      <c r="H2" s="10">
        <v>0.1</v>
      </c>
      <c r="I2" s="10">
        <f>(14.8+17.8)/2</f>
        <v>16.3</v>
      </c>
      <c r="J2" s="10">
        <v>1.5</v>
      </c>
      <c r="K2" s="12">
        <v>1120</v>
      </c>
      <c r="L2" s="12">
        <v>100</v>
      </c>
      <c r="M2" s="13">
        <v>535</v>
      </c>
      <c r="N2" s="14">
        <v>34.6</v>
      </c>
      <c r="O2" s="14">
        <f t="shared" ref="O2:O18" si="0">(N2*(100-N2)/M2)^0.5</f>
        <v>2.0566009522110784</v>
      </c>
      <c r="P2" s="14">
        <f>100*0.177570093</f>
        <v>17.7570093</v>
      </c>
      <c r="Q2" s="14">
        <f t="shared" ref="Q2:Q18" si="1">(P2*(100-P2)/M2)^0.5</f>
        <v>1.6521804062520544</v>
      </c>
      <c r="R2" s="15">
        <f>0.01682243*100</f>
        <v>1.6822429999999999</v>
      </c>
      <c r="S2" s="14">
        <f t="shared" ref="S2:S14" si="2">(R2*(100-R2)/M2)^0.5</f>
        <v>0.55601109127804949</v>
      </c>
      <c r="T2" s="15">
        <f>100*0.117757</f>
        <v>11.775700000000001</v>
      </c>
      <c r="U2" s="14">
        <f t="shared" ref="U2:U38" si="3">(T2*(100-T2)/M2)^0.5</f>
        <v>1.3935115930022886</v>
      </c>
      <c r="V2" s="15">
        <f>100*0.09719626</f>
        <v>9.7196259999999999</v>
      </c>
      <c r="W2" s="15">
        <f>100*0.07102804</f>
        <v>7.1028039999999999</v>
      </c>
      <c r="X2" s="15">
        <f>100*0.07663551</f>
        <v>7.663551</v>
      </c>
      <c r="Y2" s="15">
        <f>100*0.009345794</f>
        <v>0.93457939999999995</v>
      </c>
      <c r="Z2" s="16">
        <v>0</v>
      </c>
      <c r="AA2" s="41">
        <v>46.948356799999999</v>
      </c>
      <c r="AB2" s="14">
        <v>32.348443760000002</v>
      </c>
      <c r="AC2" s="14">
        <v>2.2084888829999998</v>
      </c>
      <c r="AD2" s="14">
        <v>17.02767197</v>
      </c>
      <c r="AE2" s="14">
        <v>1.624190558</v>
      </c>
      <c r="AF2" s="14">
        <v>3.0037128640000001</v>
      </c>
      <c r="AG2" s="14">
        <v>0.77534920399999996</v>
      </c>
      <c r="AH2" s="14">
        <v>5.565505827</v>
      </c>
      <c r="AI2" s="64">
        <v>0.919056294</v>
      </c>
      <c r="AJ2" s="14">
        <v>2.3860543299999999</v>
      </c>
      <c r="AK2" s="14">
        <v>0.79648399999999997</v>
      </c>
      <c r="AL2" s="14">
        <v>19.209732089999999</v>
      </c>
      <c r="AM2" s="55">
        <v>0.74046645899999997</v>
      </c>
    </row>
    <row r="3" spans="1:39" s="46" customFormat="1" ht="15" x14ac:dyDescent="0.2">
      <c r="A3" s="9" t="s">
        <v>9</v>
      </c>
      <c r="B3" s="69" t="s">
        <v>160</v>
      </c>
      <c r="C3" s="10" t="s">
        <v>10</v>
      </c>
      <c r="D3" s="10" t="s">
        <v>6</v>
      </c>
      <c r="E3" s="10" t="s">
        <v>7</v>
      </c>
      <c r="F3" s="11" t="s">
        <v>8</v>
      </c>
      <c r="G3" s="17">
        <v>2.8</v>
      </c>
      <c r="H3" s="10">
        <v>0.2</v>
      </c>
      <c r="I3" s="10">
        <f>(13.6+16.6)/2</f>
        <v>15.100000000000001</v>
      </c>
      <c r="J3" s="10">
        <v>1.5</v>
      </c>
      <c r="K3" s="12">
        <f>(897+1297)/2</f>
        <v>1097</v>
      </c>
      <c r="L3" s="12">
        <v>200</v>
      </c>
      <c r="M3" s="18">
        <v>534</v>
      </c>
      <c r="N3" s="14">
        <v>25.1</v>
      </c>
      <c r="O3" s="14">
        <f t="shared" si="0"/>
        <v>1.8763210078087837</v>
      </c>
      <c r="P3" s="14">
        <v>8.4269660000000002</v>
      </c>
      <c r="Q3" s="14">
        <f t="shared" si="1"/>
        <v>1.2021226887746312</v>
      </c>
      <c r="R3" s="15">
        <v>0.18726590000000001</v>
      </c>
      <c r="S3" s="14">
        <f t="shared" si="2"/>
        <v>0.18709048404056808</v>
      </c>
      <c r="T3" s="15">
        <v>6.1797750000000002</v>
      </c>
      <c r="U3" s="14">
        <f t="shared" si="3"/>
        <v>1.0419909286605209</v>
      </c>
      <c r="V3" s="15">
        <v>12.734080000000001</v>
      </c>
      <c r="W3" s="15">
        <v>1.8726590000000001</v>
      </c>
      <c r="X3" s="15">
        <v>2.6217229999999998</v>
      </c>
      <c r="Y3" s="15">
        <v>2.0599249999999998</v>
      </c>
      <c r="Z3" s="19">
        <v>0.93632959999999998</v>
      </c>
      <c r="AA3" s="41">
        <v>30.405405399999999</v>
      </c>
      <c r="AB3" s="14">
        <v>19.798688909999999</v>
      </c>
      <c r="AC3" s="14">
        <v>1.8056307279999999</v>
      </c>
      <c r="AD3" s="14">
        <v>7.7356234979999998</v>
      </c>
      <c r="AE3" s="14">
        <v>1.18325193</v>
      </c>
      <c r="AF3" s="14">
        <v>0.56285024400000006</v>
      </c>
      <c r="AG3" s="14">
        <v>0.496034119</v>
      </c>
      <c r="AH3" s="14">
        <v>4.4149803680000002</v>
      </c>
      <c r="AI3" s="55">
        <v>0.98043540399999995</v>
      </c>
      <c r="AJ3" s="14">
        <v>2.63266</v>
      </c>
      <c r="AK3" s="14">
        <v>0.75294000000000005</v>
      </c>
      <c r="AL3" s="14">
        <v>28.76357093</v>
      </c>
      <c r="AM3" s="55">
        <v>1.563188306</v>
      </c>
    </row>
    <row r="4" spans="1:39" s="46" customFormat="1" ht="15" x14ac:dyDescent="0.2">
      <c r="A4" s="9" t="s">
        <v>11</v>
      </c>
      <c r="B4" s="69" t="s">
        <v>160</v>
      </c>
      <c r="C4" s="10" t="s">
        <v>10</v>
      </c>
      <c r="D4" s="10" t="s">
        <v>6</v>
      </c>
      <c r="E4" s="10" t="s">
        <v>7</v>
      </c>
      <c r="F4" s="11" t="s">
        <v>8</v>
      </c>
      <c r="G4" s="10">
        <v>2.8</v>
      </c>
      <c r="H4" s="10">
        <v>0.4</v>
      </c>
      <c r="I4" s="10">
        <v>14.6</v>
      </c>
      <c r="J4" s="10">
        <v>1</v>
      </c>
      <c r="K4" s="12">
        <f>(897+1151)/2</f>
        <v>1024</v>
      </c>
      <c r="L4" s="12">
        <f>1151-1024</f>
        <v>127</v>
      </c>
      <c r="M4" s="18">
        <v>7491</v>
      </c>
      <c r="N4" s="14">
        <v>50.966999999999999</v>
      </c>
      <c r="O4" s="14">
        <f t="shared" si="0"/>
        <v>0.57758894170742159</v>
      </c>
      <c r="P4" s="14">
        <v>11.079962999999999</v>
      </c>
      <c r="Q4" s="14">
        <f t="shared" si="1"/>
        <v>0.36265951289867732</v>
      </c>
      <c r="R4" s="15">
        <v>1.668669</v>
      </c>
      <c r="S4" s="14">
        <f t="shared" si="2"/>
        <v>0.14799981047895761</v>
      </c>
      <c r="T4" s="15">
        <v>6.9283140000000003</v>
      </c>
      <c r="U4" s="14">
        <f t="shared" si="3"/>
        <v>0.29339497624105187</v>
      </c>
      <c r="V4" s="15">
        <v>27.272729999999999</v>
      </c>
      <c r="W4" s="15">
        <v>9.8918700000000008</v>
      </c>
      <c r="X4" s="15">
        <v>11.21346</v>
      </c>
      <c r="Y4" s="15">
        <v>1.6286210000000001</v>
      </c>
      <c r="Z4" s="19">
        <v>1.134695</v>
      </c>
      <c r="AA4" s="41">
        <v>18.108906699999999</v>
      </c>
      <c r="AB4" s="14">
        <v>28.35782069</v>
      </c>
      <c r="AC4" s="14">
        <v>2.9378395230000001</v>
      </c>
      <c r="AD4" s="14">
        <v>13.46470504</v>
      </c>
      <c r="AE4" s="14">
        <v>2.6465559679999999</v>
      </c>
      <c r="AF4" s="14">
        <v>3.004685104</v>
      </c>
      <c r="AG4" s="14">
        <v>1.2136719439999999</v>
      </c>
      <c r="AH4" s="14">
        <v>4.8636473349999996</v>
      </c>
      <c r="AI4" s="55">
        <v>1.539270906</v>
      </c>
      <c r="AJ4" s="14">
        <v>4.0703760000000004</v>
      </c>
      <c r="AK4" s="14">
        <v>0.76190999999999998</v>
      </c>
      <c r="AL4" s="14">
        <v>83.547843869999994</v>
      </c>
      <c r="AM4" s="55">
        <v>4.5187808770000002</v>
      </c>
    </row>
    <row r="5" spans="1:39" s="46" customFormat="1" ht="15" x14ac:dyDescent="0.2">
      <c r="A5" s="9" t="s">
        <v>12</v>
      </c>
      <c r="B5" s="69" t="s">
        <v>194</v>
      </c>
      <c r="C5" s="10" t="s">
        <v>13</v>
      </c>
      <c r="D5" s="10" t="s">
        <v>14</v>
      </c>
      <c r="E5" s="10" t="s">
        <v>15</v>
      </c>
      <c r="F5" s="11" t="s">
        <v>16</v>
      </c>
      <c r="G5" s="10">
        <v>6.5</v>
      </c>
      <c r="H5" s="10">
        <v>0.5</v>
      </c>
      <c r="I5" s="10">
        <f>(3.4+5.9)/2</f>
        <v>4.6500000000000004</v>
      </c>
      <c r="J5" s="10">
        <v>1.25</v>
      </c>
      <c r="K5" s="12" t="s">
        <v>17</v>
      </c>
      <c r="L5" s="12" t="s">
        <v>18</v>
      </c>
      <c r="M5" s="18">
        <v>626</v>
      </c>
      <c r="N5" s="10">
        <v>25.399360000000001</v>
      </c>
      <c r="O5" s="14">
        <f t="shared" si="0"/>
        <v>1.7397846583679981</v>
      </c>
      <c r="P5" s="14">
        <v>3.1948880000000002</v>
      </c>
      <c r="Q5" s="14">
        <f t="shared" si="1"/>
        <v>0.70289393883084339</v>
      </c>
      <c r="R5" s="20">
        <v>0.15970000000000001</v>
      </c>
      <c r="S5" s="14">
        <f t="shared" si="2"/>
        <v>0.15959461379006099</v>
      </c>
      <c r="T5" s="20">
        <v>1.4377</v>
      </c>
      <c r="U5" s="14">
        <f t="shared" si="3"/>
        <v>0.47577583975700743</v>
      </c>
      <c r="V5" s="20">
        <v>17.7316</v>
      </c>
      <c r="W5" s="20">
        <v>8.3066999999999993</v>
      </c>
      <c r="X5" s="14">
        <v>1.597</v>
      </c>
      <c r="Y5" s="14">
        <v>0.15970000000000001</v>
      </c>
      <c r="Z5" s="16">
        <v>0.15970000000000001</v>
      </c>
      <c r="AA5" s="45">
        <v>10.322580645161301</v>
      </c>
      <c r="AB5" s="45">
        <v>14.603668505441</v>
      </c>
      <c r="AC5" s="10">
        <v>1.292</v>
      </c>
      <c r="AD5" s="45">
        <v>5.0367943834557103</v>
      </c>
      <c r="AE5" s="10">
        <v>0.81799999999999995</v>
      </c>
      <c r="AF5" s="45">
        <v>3.0689605930822301</v>
      </c>
      <c r="AG5" s="10">
        <v>0.79900000000000004</v>
      </c>
      <c r="AH5" s="45">
        <v>0.97056729061852598</v>
      </c>
      <c r="AI5" s="56">
        <v>0.16900000000000001</v>
      </c>
      <c r="AJ5" s="10">
        <v>2.2599999999999998</v>
      </c>
      <c r="AK5" s="10">
        <v>0.72</v>
      </c>
      <c r="AL5" s="45">
        <v>20.265890406302098</v>
      </c>
      <c r="AM5" s="56">
        <v>1.379</v>
      </c>
    </row>
    <row r="6" spans="1:39" s="46" customFormat="1" ht="15" x14ac:dyDescent="0.2">
      <c r="A6" s="9" t="s">
        <v>19</v>
      </c>
      <c r="B6" s="69" t="s">
        <v>195</v>
      </c>
      <c r="C6" s="10" t="s">
        <v>13</v>
      </c>
      <c r="D6" s="10" t="s">
        <v>14</v>
      </c>
      <c r="E6" s="10" t="s">
        <v>15</v>
      </c>
      <c r="F6" s="11" t="s">
        <v>8</v>
      </c>
      <c r="G6" s="10">
        <v>8.5</v>
      </c>
      <c r="H6" s="10">
        <v>0.5</v>
      </c>
      <c r="I6" s="10">
        <f>(5.9+7.4)/2</f>
        <v>6.65</v>
      </c>
      <c r="J6" s="10">
        <v>0.7</v>
      </c>
      <c r="K6" s="12" t="s">
        <v>17</v>
      </c>
      <c r="L6" s="12" t="s">
        <v>18</v>
      </c>
      <c r="M6" s="18">
        <v>485</v>
      </c>
      <c r="N6" s="10">
        <v>18.3505</v>
      </c>
      <c r="O6" s="14">
        <f t="shared" si="0"/>
        <v>1.7576396718267888</v>
      </c>
      <c r="P6" s="14">
        <v>2.0619000000000001</v>
      </c>
      <c r="Q6" s="14">
        <f t="shared" si="1"/>
        <v>0.64526597790943752</v>
      </c>
      <c r="R6" s="20">
        <v>0.41237000000000001</v>
      </c>
      <c r="S6" s="14">
        <f t="shared" si="2"/>
        <v>0.2909881883141488</v>
      </c>
      <c r="T6" s="20">
        <v>1.0308999999999999</v>
      </c>
      <c r="U6" s="14">
        <f t="shared" si="3"/>
        <v>0.45865613917182008</v>
      </c>
      <c r="V6" s="20">
        <v>10.1031</v>
      </c>
      <c r="W6" s="20">
        <v>7.835</v>
      </c>
      <c r="X6" s="14">
        <v>0.61855000000000004</v>
      </c>
      <c r="Y6" s="14">
        <v>0.20619000000000001</v>
      </c>
      <c r="Z6" s="22">
        <v>0</v>
      </c>
      <c r="AA6" s="45">
        <v>8.7378640776699008</v>
      </c>
      <c r="AB6" s="45">
        <v>11.3597773367052</v>
      </c>
      <c r="AC6" s="10">
        <v>0.86</v>
      </c>
      <c r="AD6" s="45">
        <v>4.7274137591078098</v>
      </c>
      <c r="AE6" s="10">
        <v>0.497</v>
      </c>
      <c r="AF6" s="45">
        <v>2.8230852592965401</v>
      </c>
      <c r="AG6" s="10">
        <v>0.40100000000000002</v>
      </c>
      <c r="AH6" s="10">
        <v>0</v>
      </c>
      <c r="AI6" s="56" t="s">
        <v>18</v>
      </c>
      <c r="AJ6" s="10">
        <v>1.651</v>
      </c>
      <c r="AK6" s="10">
        <v>0.64300000000000002</v>
      </c>
      <c r="AL6" s="45">
        <v>12.8949359413831</v>
      </c>
      <c r="AM6" s="56">
        <v>0.31</v>
      </c>
    </row>
    <row r="7" spans="1:39" s="46" customFormat="1" ht="15" x14ac:dyDescent="0.2">
      <c r="A7" s="9" t="s">
        <v>20</v>
      </c>
      <c r="B7" s="69" t="s">
        <v>196</v>
      </c>
      <c r="C7" s="10" t="s">
        <v>13</v>
      </c>
      <c r="D7" s="10" t="s">
        <v>14</v>
      </c>
      <c r="E7" s="10" t="s">
        <v>15</v>
      </c>
      <c r="F7" s="11" t="s">
        <v>21</v>
      </c>
      <c r="G7" s="10">
        <v>10</v>
      </c>
      <c r="H7" s="10" t="s">
        <v>17</v>
      </c>
      <c r="I7" s="10">
        <v>6.4</v>
      </c>
      <c r="J7" s="10">
        <v>1</v>
      </c>
      <c r="K7" s="12" t="s">
        <v>17</v>
      </c>
      <c r="L7" s="12" t="s">
        <v>18</v>
      </c>
      <c r="M7" s="18">
        <v>921</v>
      </c>
      <c r="N7" s="14">
        <v>6.1889000000000003</v>
      </c>
      <c r="O7" s="14">
        <f t="shared" si="0"/>
        <v>0.79396988813694114</v>
      </c>
      <c r="P7" s="14">
        <v>1.52</v>
      </c>
      <c r="Q7" s="14">
        <f t="shared" si="1"/>
        <v>0.40314938241121623</v>
      </c>
      <c r="R7" s="20">
        <v>0.65146999999999999</v>
      </c>
      <c r="S7" s="14">
        <f t="shared" si="2"/>
        <v>0.26509291354388087</v>
      </c>
      <c r="T7" s="20">
        <v>0.21715999999999999</v>
      </c>
      <c r="U7" s="14">
        <f t="shared" si="3"/>
        <v>0.15338681572488336</v>
      </c>
      <c r="V7" s="20">
        <v>4.3430999999999997</v>
      </c>
      <c r="W7" s="20">
        <v>0.65146000000000004</v>
      </c>
      <c r="X7" s="14">
        <v>0.43430999999999997</v>
      </c>
      <c r="Y7" s="14">
        <v>0.32573000000000002</v>
      </c>
      <c r="Z7" s="21">
        <v>0</v>
      </c>
      <c r="AA7" s="45">
        <v>27.586206896551701</v>
      </c>
      <c r="AB7" s="45">
        <v>16.633509392336201</v>
      </c>
      <c r="AC7" s="10">
        <v>1.462</v>
      </c>
      <c r="AD7" s="45">
        <v>4.8534088873351999</v>
      </c>
      <c r="AE7" s="10">
        <v>0.92300000000000004</v>
      </c>
      <c r="AF7" s="45">
        <v>1.47058505493713</v>
      </c>
      <c r="AG7" s="10">
        <v>0.623</v>
      </c>
      <c r="AH7" s="45">
        <v>2.4009932354085399</v>
      </c>
      <c r="AI7" s="56">
        <v>0.67200000000000004</v>
      </c>
      <c r="AJ7" s="10">
        <v>1.742</v>
      </c>
      <c r="AK7" s="10">
        <v>0.6</v>
      </c>
      <c r="AL7" s="23">
        <v>16.3837744287055</v>
      </c>
      <c r="AM7" s="56">
        <v>1.0860000000000001</v>
      </c>
    </row>
    <row r="8" spans="1:39" s="46" customFormat="1" ht="15" x14ac:dyDescent="0.2">
      <c r="A8" s="9" t="s">
        <v>22</v>
      </c>
      <c r="B8" s="69" t="s">
        <v>197</v>
      </c>
      <c r="C8" s="10" t="s">
        <v>13</v>
      </c>
      <c r="D8" s="10" t="s">
        <v>14</v>
      </c>
      <c r="E8" s="10" t="s">
        <v>15</v>
      </c>
      <c r="F8" s="11" t="s">
        <v>21</v>
      </c>
      <c r="G8" s="10">
        <v>12</v>
      </c>
      <c r="H8" s="10" t="s">
        <v>17</v>
      </c>
      <c r="I8" s="10">
        <f>(12.5+9.3)/2</f>
        <v>10.9</v>
      </c>
      <c r="J8" s="10">
        <v>1.6</v>
      </c>
      <c r="K8" s="12" t="s">
        <v>17</v>
      </c>
      <c r="L8" s="12" t="s">
        <v>18</v>
      </c>
      <c r="M8" s="24">
        <v>1390</v>
      </c>
      <c r="N8" s="14">
        <v>21.007000000000001</v>
      </c>
      <c r="O8" s="14">
        <f t="shared" si="0"/>
        <v>1.0926194355470946</v>
      </c>
      <c r="P8" s="14">
        <v>3.8129</v>
      </c>
      <c r="Q8" s="14">
        <f t="shared" si="1"/>
        <v>0.51366351945201183</v>
      </c>
      <c r="R8" s="20">
        <v>1.7265999999999999</v>
      </c>
      <c r="S8" s="14">
        <f t="shared" si="2"/>
        <v>0.34938677259351042</v>
      </c>
      <c r="T8" s="20">
        <v>0.79137000000000002</v>
      </c>
      <c r="U8" s="14">
        <f t="shared" si="3"/>
        <v>0.23766056068045796</v>
      </c>
      <c r="V8" s="20">
        <v>16.6187</v>
      </c>
      <c r="W8" s="20">
        <v>1.6546799999999999</v>
      </c>
      <c r="X8" s="14">
        <v>1.151</v>
      </c>
      <c r="Y8" s="14">
        <v>0.21582000000000001</v>
      </c>
      <c r="Z8" s="22">
        <v>0</v>
      </c>
      <c r="AA8" s="45">
        <v>20.454545454545499</v>
      </c>
      <c r="AB8" s="45">
        <v>16.163968284840099</v>
      </c>
      <c r="AC8" s="10">
        <v>1.4219999999999999</v>
      </c>
      <c r="AD8" s="45">
        <v>6.2724467775424104</v>
      </c>
      <c r="AE8" s="10">
        <v>1.1176999999999999</v>
      </c>
      <c r="AF8" s="10">
        <v>0</v>
      </c>
      <c r="AG8" s="10" t="s">
        <v>18</v>
      </c>
      <c r="AH8" s="45">
        <v>0.99997247543495105</v>
      </c>
      <c r="AI8" s="56">
        <v>5.0000000000000001E-3</v>
      </c>
      <c r="AJ8" s="10">
        <v>1.409</v>
      </c>
      <c r="AK8" s="10">
        <v>0.52</v>
      </c>
      <c r="AL8" s="10">
        <v>13.505000000000001</v>
      </c>
      <c r="AM8" s="56">
        <v>1.046</v>
      </c>
    </row>
    <row r="9" spans="1:39" s="46" customFormat="1" ht="15" x14ac:dyDescent="0.2">
      <c r="A9" s="9" t="s">
        <v>23</v>
      </c>
      <c r="B9" s="70" t="s">
        <v>161</v>
      </c>
      <c r="C9" s="10" t="s">
        <v>13</v>
      </c>
      <c r="D9" s="10" t="s">
        <v>24</v>
      </c>
      <c r="E9" s="10" t="s">
        <v>25</v>
      </c>
      <c r="F9" s="11" t="s">
        <v>8</v>
      </c>
      <c r="G9" s="25">
        <f>(21.7+15.9)/2</f>
        <v>18.8</v>
      </c>
      <c r="H9" s="10">
        <v>3.3</v>
      </c>
      <c r="I9" s="12" t="s">
        <v>17</v>
      </c>
      <c r="J9" s="12" t="s">
        <v>18</v>
      </c>
      <c r="K9" s="12" t="s">
        <v>17</v>
      </c>
      <c r="L9" s="12" t="s">
        <v>18</v>
      </c>
      <c r="M9" s="18">
        <v>459</v>
      </c>
      <c r="N9" s="10">
        <v>71.81</v>
      </c>
      <c r="O9" s="14">
        <f t="shared" si="0"/>
        <v>2.1000694562639821</v>
      </c>
      <c r="P9" s="10">
        <v>30.28</v>
      </c>
      <c r="Q9" s="14">
        <f t="shared" si="1"/>
        <v>2.1446196548694334</v>
      </c>
      <c r="R9" s="20">
        <v>4.3570000000000002</v>
      </c>
      <c r="S9" s="14">
        <f t="shared" si="2"/>
        <v>0.95282694970200732</v>
      </c>
      <c r="T9" s="20">
        <v>16.3399</v>
      </c>
      <c r="U9" s="14">
        <f t="shared" si="3"/>
        <v>1.7257486569583254</v>
      </c>
      <c r="V9" s="20">
        <v>41.393999999999998</v>
      </c>
      <c r="W9" s="20">
        <v>30.937000000000001</v>
      </c>
      <c r="X9" s="14">
        <v>1.5249999999999999</v>
      </c>
      <c r="Y9" s="14">
        <v>20.042999999999999</v>
      </c>
      <c r="Z9" s="16">
        <v>4.7930000000000001</v>
      </c>
      <c r="AA9" s="41">
        <v>24.2283951</v>
      </c>
      <c r="AB9" s="10">
        <v>61.85</v>
      </c>
      <c r="AC9" s="10">
        <v>3.17</v>
      </c>
      <c r="AD9" s="10">
        <v>37.066000000000003</v>
      </c>
      <c r="AE9" s="10">
        <v>2.7890000000000001</v>
      </c>
      <c r="AF9" s="10">
        <v>11.815</v>
      </c>
      <c r="AG9" s="10">
        <v>1.8320000000000001</v>
      </c>
      <c r="AH9" s="10">
        <v>14.49</v>
      </c>
      <c r="AI9" s="56">
        <v>1.37</v>
      </c>
      <c r="AJ9" s="10">
        <v>2.6280000000000001</v>
      </c>
      <c r="AK9" s="10">
        <v>0.80649000000000004</v>
      </c>
      <c r="AL9" s="10">
        <v>23.564</v>
      </c>
      <c r="AM9" s="56">
        <v>1.65</v>
      </c>
    </row>
    <row r="10" spans="1:39" s="46" customFormat="1" ht="15" x14ac:dyDescent="0.2">
      <c r="A10" s="9" t="s">
        <v>26</v>
      </c>
      <c r="B10" s="69" t="s">
        <v>162</v>
      </c>
      <c r="C10" s="10" t="s">
        <v>13</v>
      </c>
      <c r="D10" s="10" t="s">
        <v>6</v>
      </c>
      <c r="E10" s="10" t="s">
        <v>7</v>
      </c>
      <c r="F10" s="11" t="s">
        <v>27</v>
      </c>
      <c r="G10" s="12">
        <v>19.55</v>
      </c>
      <c r="H10" s="10">
        <f>20.8-19.55</f>
        <v>1.25</v>
      </c>
      <c r="I10" s="10">
        <v>16.5</v>
      </c>
      <c r="J10" s="10">
        <v>1.7</v>
      </c>
      <c r="K10" s="12" t="s">
        <v>17</v>
      </c>
      <c r="L10" s="12" t="s">
        <v>18</v>
      </c>
      <c r="M10" s="18">
        <v>2215</v>
      </c>
      <c r="N10" s="14">
        <v>25.01</v>
      </c>
      <c r="O10" s="14">
        <f t="shared" si="0"/>
        <v>0.92017760087700262</v>
      </c>
      <c r="P10" s="14">
        <v>4.5146699999999997</v>
      </c>
      <c r="Q10" s="14">
        <f t="shared" si="1"/>
        <v>0.44115831261641703</v>
      </c>
      <c r="R10" s="26">
        <v>0.99322999999999995</v>
      </c>
      <c r="S10" s="14">
        <f t="shared" si="2"/>
        <v>0.21070289136028639</v>
      </c>
      <c r="T10" s="26">
        <v>1.986456</v>
      </c>
      <c r="U10" s="14">
        <f t="shared" si="3"/>
        <v>0.29648017346039834</v>
      </c>
      <c r="V10" s="20">
        <v>14.401809999999999</v>
      </c>
      <c r="W10" s="20">
        <v>8.8939050000000002</v>
      </c>
      <c r="X10" s="14">
        <v>2.8442440000000002</v>
      </c>
      <c r="Y10" s="14">
        <v>0.40632049999999997</v>
      </c>
      <c r="Z10" s="16">
        <v>0</v>
      </c>
      <c r="AA10" s="41">
        <v>14.047287900000001</v>
      </c>
      <c r="AB10" s="14">
        <v>22.261700000000001</v>
      </c>
      <c r="AC10" s="14">
        <v>2.7715999999999998</v>
      </c>
      <c r="AD10" s="14">
        <v>10.042199999999999</v>
      </c>
      <c r="AE10" s="14">
        <v>2.2973699999999999</v>
      </c>
      <c r="AF10" s="14">
        <v>2.5352579999999998</v>
      </c>
      <c r="AG10" s="14">
        <v>1.2894767499999999</v>
      </c>
      <c r="AH10" s="14">
        <v>5.2542</v>
      </c>
      <c r="AI10" s="55">
        <v>1.5047254999999999</v>
      </c>
      <c r="AJ10" s="14">
        <v>3.88415344</v>
      </c>
      <c r="AK10" s="14">
        <v>0.89153300000000002</v>
      </c>
      <c r="AL10" s="14">
        <v>60.742690000000003</v>
      </c>
      <c r="AM10" s="55">
        <v>2.5213999999999999</v>
      </c>
    </row>
    <row r="11" spans="1:39" s="46" customFormat="1" ht="15" x14ac:dyDescent="0.2">
      <c r="A11" s="9" t="s">
        <v>28</v>
      </c>
      <c r="B11" s="69" t="s">
        <v>162</v>
      </c>
      <c r="C11" s="10" t="s">
        <v>13</v>
      </c>
      <c r="D11" s="10" t="s">
        <v>6</v>
      </c>
      <c r="E11" s="10" t="s">
        <v>7</v>
      </c>
      <c r="F11" s="11" t="s">
        <v>8</v>
      </c>
      <c r="G11" s="12">
        <v>19.55</v>
      </c>
      <c r="H11" s="10">
        <f>20.8-19.55</f>
        <v>1.25</v>
      </c>
      <c r="I11" s="10">
        <v>16.5</v>
      </c>
      <c r="J11" s="10">
        <v>1.7</v>
      </c>
      <c r="K11" s="12" t="s">
        <v>17</v>
      </c>
      <c r="L11" s="12" t="s">
        <v>18</v>
      </c>
      <c r="M11" s="18">
        <v>1226</v>
      </c>
      <c r="N11" s="14">
        <v>17.292007000000002</v>
      </c>
      <c r="O11" s="14">
        <f t="shared" si="0"/>
        <v>1.0800682693636054</v>
      </c>
      <c r="P11" s="14">
        <v>7.4225000000000003</v>
      </c>
      <c r="Q11" s="14">
        <f t="shared" si="1"/>
        <v>0.7486564876502545</v>
      </c>
      <c r="R11" s="26">
        <v>0.489396</v>
      </c>
      <c r="S11" s="14">
        <f t="shared" si="2"/>
        <v>0.19930566987672835</v>
      </c>
      <c r="T11" s="26">
        <v>6.5252850000000002</v>
      </c>
      <c r="U11" s="14">
        <f t="shared" si="3"/>
        <v>0.70534498383591826</v>
      </c>
      <c r="V11" s="26">
        <v>4.3230019999999998</v>
      </c>
      <c r="W11" s="26">
        <v>6.769984</v>
      </c>
      <c r="X11" s="14">
        <v>0.65252849999999996</v>
      </c>
      <c r="Y11" s="14">
        <v>8.1566070000000004E-2</v>
      </c>
      <c r="Z11" s="16">
        <v>7.1566069999999996E-2</v>
      </c>
      <c r="AA11" s="41">
        <v>39.430894299999999</v>
      </c>
      <c r="AB11" s="14">
        <v>15.8846641</v>
      </c>
      <c r="AC11" s="14">
        <v>2.4824830800000002</v>
      </c>
      <c r="AD11" s="14">
        <v>7.587758</v>
      </c>
      <c r="AE11" s="14">
        <v>1.8068029999999999</v>
      </c>
      <c r="AF11" s="14">
        <v>1.3044899999999999</v>
      </c>
      <c r="AG11" s="14">
        <v>0.89299399999999995</v>
      </c>
      <c r="AH11" s="14">
        <v>4.9873000000000003</v>
      </c>
      <c r="AI11" s="55">
        <v>1.7077</v>
      </c>
      <c r="AJ11" s="14">
        <v>2.627529</v>
      </c>
      <c r="AK11" s="14">
        <v>0.68628199999999995</v>
      </c>
      <c r="AL11" s="14">
        <v>31.803070000000002</v>
      </c>
      <c r="AM11" s="55">
        <v>2.3437299999999999</v>
      </c>
    </row>
    <row r="12" spans="1:39" s="46" customFormat="1" ht="15" x14ac:dyDescent="0.2">
      <c r="A12" s="9" t="s">
        <v>29</v>
      </c>
      <c r="B12" s="69" t="s">
        <v>163</v>
      </c>
      <c r="C12" s="10" t="s">
        <v>13</v>
      </c>
      <c r="D12" s="10" t="s">
        <v>30</v>
      </c>
      <c r="E12" s="10" t="s">
        <v>31</v>
      </c>
      <c r="F12" s="11" t="s">
        <v>8</v>
      </c>
      <c r="G12" s="10">
        <v>21.73</v>
      </c>
      <c r="H12" s="10">
        <v>0.12</v>
      </c>
      <c r="I12" s="10" t="s">
        <v>18</v>
      </c>
      <c r="J12" s="10" t="s">
        <v>18</v>
      </c>
      <c r="K12" s="12">
        <v>1647</v>
      </c>
      <c r="L12" s="12" t="s">
        <v>32</v>
      </c>
      <c r="M12" s="18">
        <v>2200</v>
      </c>
      <c r="N12" s="10">
        <v>31.6</v>
      </c>
      <c r="O12" s="14">
        <f t="shared" si="0"/>
        <v>0.99119762271341594</v>
      </c>
      <c r="P12" s="10">
        <v>7.0909089999999999</v>
      </c>
      <c r="Q12" s="14">
        <f t="shared" si="1"/>
        <v>0.54722851698092723</v>
      </c>
      <c r="R12" s="17">
        <v>0.40899999999999997</v>
      </c>
      <c r="S12" s="14">
        <f t="shared" si="2"/>
        <v>0.13606936566592523</v>
      </c>
      <c r="T12" s="17">
        <v>2.5454539999999999</v>
      </c>
      <c r="U12" s="14">
        <f t="shared" si="3"/>
        <v>0.3357935404204927</v>
      </c>
      <c r="V12" s="17">
        <v>9.6364000000000001</v>
      </c>
      <c r="W12" s="17">
        <v>7.2272999999999996</v>
      </c>
      <c r="X12" s="10">
        <v>0.63639999999999997</v>
      </c>
      <c r="Y12" s="10">
        <v>15.545</v>
      </c>
      <c r="Z12" s="21">
        <v>1.6364000000000001</v>
      </c>
      <c r="AA12" s="41">
        <v>18.2807399</v>
      </c>
      <c r="AB12" s="14">
        <v>21.4146</v>
      </c>
      <c r="AC12" s="14">
        <v>2.0699999999999998</v>
      </c>
      <c r="AD12" s="14">
        <v>8.8805999999999994</v>
      </c>
      <c r="AE12" s="14">
        <v>1.7</v>
      </c>
      <c r="AF12" s="14">
        <v>1.1214999999999999</v>
      </c>
      <c r="AG12" s="14">
        <v>0.89990000000000003</v>
      </c>
      <c r="AH12" s="14">
        <v>3.2669999999999999</v>
      </c>
      <c r="AI12" s="55">
        <v>1.0740000000000001</v>
      </c>
      <c r="AJ12" s="47">
        <v>2.0452995999999999</v>
      </c>
      <c r="AK12" s="47">
        <v>0.36427520000000002</v>
      </c>
      <c r="AL12" s="27">
        <v>28.329749929999998</v>
      </c>
      <c r="AM12" s="55">
        <v>2.3730068000000002</v>
      </c>
    </row>
    <row r="13" spans="1:39" s="46" customFormat="1" ht="15" x14ac:dyDescent="0.2">
      <c r="A13" s="9" t="s">
        <v>33</v>
      </c>
      <c r="B13" s="69" t="s">
        <v>164</v>
      </c>
      <c r="C13" s="28" t="s">
        <v>34</v>
      </c>
      <c r="D13" s="28" t="s">
        <v>6</v>
      </c>
      <c r="E13" s="29" t="s">
        <v>7</v>
      </c>
      <c r="F13" s="11" t="s">
        <v>35</v>
      </c>
      <c r="G13" s="10">
        <v>23.08</v>
      </c>
      <c r="H13" s="10">
        <v>0.05</v>
      </c>
      <c r="I13" s="10">
        <v>17.5</v>
      </c>
      <c r="J13" s="12">
        <v>1.2</v>
      </c>
      <c r="K13" s="30">
        <f>843+219</f>
        <v>1062</v>
      </c>
      <c r="L13" s="12">
        <f>(1281-843)/2</f>
        <v>219</v>
      </c>
      <c r="M13" s="18">
        <v>2326</v>
      </c>
      <c r="N13" s="10">
        <v>17.760000000000002</v>
      </c>
      <c r="O13" s="14">
        <f t="shared" si="0"/>
        <v>0.79242501428678525</v>
      </c>
      <c r="P13" s="10">
        <v>3.31</v>
      </c>
      <c r="Q13" s="14">
        <f t="shared" si="1"/>
        <v>0.37093680062807083</v>
      </c>
      <c r="R13" s="31">
        <v>0.82</v>
      </c>
      <c r="S13" s="14">
        <f t="shared" si="2"/>
        <v>0.1869881664079634</v>
      </c>
      <c r="T13" s="31">
        <v>1.25</v>
      </c>
      <c r="U13" s="14">
        <f t="shared" si="3"/>
        <v>0.23036617081707494</v>
      </c>
      <c r="V13" s="20">
        <v>5.76</v>
      </c>
      <c r="W13" s="31">
        <v>9.5399999999999991</v>
      </c>
      <c r="X13" s="10">
        <v>1.55</v>
      </c>
      <c r="Y13" s="10">
        <v>1.46</v>
      </c>
      <c r="Z13" s="21">
        <v>0</v>
      </c>
      <c r="AA13" s="41">
        <v>16.078431399999999</v>
      </c>
      <c r="AB13" s="10">
        <v>19.77</v>
      </c>
      <c r="AC13" s="32">
        <v>2.7911128789999999</v>
      </c>
      <c r="AD13" s="10">
        <v>8.02</v>
      </c>
      <c r="AE13" s="32">
        <v>2.1846845500000001</v>
      </c>
      <c r="AF13" s="10">
        <v>2.2599999999999998</v>
      </c>
      <c r="AG13" s="32">
        <v>1.296547573</v>
      </c>
      <c r="AH13" s="10">
        <v>2.48</v>
      </c>
      <c r="AI13" s="57">
        <v>1.0805701679999999</v>
      </c>
      <c r="AJ13" s="10">
        <v>3.46</v>
      </c>
      <c r="AK13" s="10">
        <v>0.75</v>
      </c>
      <c r="AL13" s="10">
        <v>54.49</v>
      </c>
      <c r="AM13" s="57">
        <v>3.6525514870000002</v>
      </c>
    </row>
    <row r="14" spans="1:39" s="46" customFormat="1" ht="15" x14ac:dyDescent="0.2">
      <c r="A14" s="33" t="s">
        <v>36</v>
      </c>
      <c r="B14" s="69" t="s">
        <v>165</v>
      </c>
      <c r="C14" s="28" t="s">
        <v>34</v>
      </c>
      <c r="D14" s="28" t="s">
        <v>6</v>
      </c>
      <c r="E14" s="28" t="s">
        <v>7</v>
      </c>
      <c r="F14" s="11" t="s">
        <v>8</v>
      </c>
      <c r="G14" s="34">
        <v>24.905000000000001</v>
      </c>
      <c r="H14" s="34">
        <v>0.11</v>
      </c>
      <c r="I14" s="10">
        <v>16</v>
      </c>
      <c r="J14" s="10">
        <v>1</v>
      </c>
      <c r="K14" s="12">
        <f>(900+1355)/2</f>
        <v>1127.5</v>
      </c>
      <c r="L14" s="12">
        <v>227</v>
      </c>
      <c r="M14" s="18">
        <v>830</v>
      </c>
      <c r="N14" s="10">
        <v>34.299999999999997</v>
      </c>
      <c r="O14" s="14">
        <f t="shared" si="0"/>
        <v>1.6477476412232022</v>
      </c>
      <c r="P14" s="14">
        <v>5.7831325299999996</v>
      </c>
      <c r="Q14" s="14">
        <f t="shared" si="1"/>
        <v>0.81022727076401579</v>
      </c>
      <c r="R14" s="26">
        <v>0.120481928</v>
      </c>
      <c r="S14" s="14">
        <f t="shared" si="2"/>
        <v>0.12040932650616877</v>
      </c>
      <c r="T14" s="14">
        <v>2.6506024099999999</v>
      </c>
      <c r="U14" s="14">
        <f t="shared" si="3"/>
        <v>0.557570621021794</v>
      </c>
      <c r="V14" s="15">
        <v>22.650600000000001</v>
      </c>
      <c r="W14" s="15">
        <v>6.1445780000000001</v>
      </c>
      <c r="X14" s="15">
        <v>4.4578309999999997</v>
      </c>
      <c r="Y14" s="15">
        <v>0.1204819</v>
      </c>
      <c r="Z14" s="21">
        <v>0</v>
      </c>
      <c r="AA14" s="41">
        <v>15.5339806</v>
      </c>
      <c r="AB14" s="15">
        <v>18.62509348</v>
      </c>
      <c r="AC14" s="15">
        <v>1.5605106200000001</v>
      </c>
      <c r="AD14" s="15">
        <v>7.8245390009999998</v>
      </c>
      <c r="AE14" s="15">
        <v>7.8245390009999998</v>
      </c>
      <c r="AF14" s="15">
        <v>0.361880857</v>
      </c>
      <c r="AG14" s="15">
        <v>0.48054458900000002</v>
      </c>
      <c r="AH14" s="15">
        <v>1.980131222</v>
      </c>
      <c r="AI14" s="55">
        <v>0.139860076</v>
      </c>
      <c r="AJ14" s="14">
        <v>2.7231179999999999</v>
      </c>
      <c r="AK14" s="14">
        <v>0.70727620000000002</v>
      </c>
      <c r="AL14" s="15">
        <v>38.143998099999997</v>
      </c>
      <c r="AM14" s="55">
        <v>2.1455162570000001</v>
      </c>
    </row>
    <row r="15" spans="1:39" s="46" customFormat="1" ht="15" x14ac:dyDescent="0.2">
      <c r="A15" s="9" t="s">
        <v>37</v>
      </c>
      <c r="B15" s="69" t="s">
        <v>193</v>
      </c>
      <c r="C15" s="28" t="s">
        <v>34</v>
      </c>
      <c r="D15" s="28" t="s">
        <v>6</v>
      </c>
      <c r="E15" s="28" t="s">
        <v>7</v>
      </c>
      <c r="F15" s="11" t="s">
        <v>16</v>
      </c>
      <c r="G15" s="12">
        <v>25.4</v>
      </c>
      <c r="H15" s="46">
        <v>2.4</v>
      </c>
      <c r="I15" s="35" t="s">
        <v>17</v>
      </c>
      <c r="J15" s="10" t="s">
        <v>18</v>
      </c>
      <c r="K15" s="35" t="s">
        <v>17</v>
      </c>
      <c r="L15" s="12" t="s">
        <v>18</v>
      </c>
      <c r="M15" s="18">
        <v>394</v>
      </c>
      <c r="N15" s="10">
        <v>38.83</v>
      </c>
      <c r="O15" s="14">
        <f t="shared" si="0"/>
        <v>2.4553014743508053</v>
      </c>
      <c r="P15" s="14">
        <v>18.27</v>
      </c>
      <c r="Q15" s="14">
        <f t="shared" si="1"/>
        <v>1.9467577497060617</v>
      </c>
      <c r="R15" s="31">
        <v>0</v>
      </c>
      <c r="S15" s="14" t="s">
        <v>18</v>
      </c>
      <c r="T15" s="31">
        <v>17.510000000000002</v>
      </c>
      <c r="U15" s="14">
        <f t="shared" si="3"/>
        <v>1.9146774124924097</v>
      </c>
      <c r="V15" s="31">
        <v>22.59</v>
      </c>
      <c r="W15" s="31">
        <v>2.79</v>
      </c>
      <c r="X15" s="10">
        <v>0.254</v>
      </c>
      <c r="Y15" s="10">
        <v>0.254</v>
      </c>
      <c r="Z15" s="21">
        <v>0</v>
      </c>
      <c r="AA15" s="41">
        <v>37.944664000000003</v>
      </c>
      <c r="AB15" s="14">
        <v>17.399999999999999</v>
      </c>
      <c r="AC15" s="14">
        <v>1.1100000000000001</v>
      </c>
      <c r="AD15" s="14">
        <v>8.4</v>
      </c>
      <c r="AE15" s="14">
        <v>0.69</v>
      </c>
      <c r="AF15" s="14">
        <v>0</v>
      </c>
      <c r="AG15" s="14" t="s">
        <v>18</v>
      </c>
      <c r="AH15" s="14">
        <v>6.69</v>
      </c>
      <c r="AI15" s="55">
        <v>0.5</v>
      </c>
      <c r="AJ15" s="47">
        <v>1.0900000000000001</v>
      </c>
      <c r="AK15" s="47">
        <v>0.42</v>
      </c>
      <c r="AL15" s="36">
        <v>11.87</v>
      </c>
      <c r="AM15" s="58">
        <v>0.94</v>
      </c>
    </row>
    <row r="16" spans="1:39" s="46" customFormat="1" ht="15" x14ac:dyDescent="0.2">
      <c r="A16" s="33" t="s">
        <v>38</v>
      </c>
      <c r="B16" s="69" t="s">
        <v>164</v>
      </c>
      <c r="C16" s="28" t="s">
        <v>34</v>
      </c>
      <c r="D16" s="28" t="s">
        <v>6</v>
      </c>
      <c r="E16" s="28" t="s">
        <v>7</v>
      </c>
      <c r="F16" s="11" t="s">
        <v>16</v>
      </c>
      <c r="G16" s="34">
        <v>26.63</v>
      </c>
      <c r="H16" s="10">
        <v>0.05</v>
      </c>
      <c r="I16" s="10">
        <v>16.8</v>
      </c>
      <c r="J16" s="10">
        <v>1.2</v>
      </c>
      <c r="K16" s="35" t="s">
        <v>17</v>
      </c>
      <c r="L16" s="12" t="s">
        <v>18</v>
      </c>
      <c r="M16" s="18">
        <v>313</v>
      </c>
      <c r="N16" s="10">
        <v>14.7</v>
      </c>
      <c r="O16" s="14">
        <f t="shared" si="0"/>
        <v>2.0015249777161728</v>
      </c>
      <c r="P16" s="10">
        <v>1.6</v>
      </c>
      <c r="Q16" s="14">
        <f t="shared" si="1"/>
        <v>0.70922718143637098</v>
      </c>
      <c r="R16" s="17">
        <v>0</v>
      </c>
      <c r="S16" s="14" t="s">
        <v>18</v>
      </c>
      <c r="T16" s="17">
        <v>0.31900000000000001</v>
      </c>
      <c r="U16" s="14">
        <f t="shared" si="3"/>
        <v>0.31873471397288028</v>
      </c>
      <c r="V16" s="17">
        <v>8.31</v>
      </c>
      <c r="W16" s="17">
        <v>6.71</v>
      </c>
      <c r="X16" s="10">
        <v>0.63</v>
      </c>
      <c r="Y16" s="10">
        <v>0.64</v>
      </c>
      <c r="Z16" s="21">
        <v>0</v>
      </c>
      <c r="AA16" s="41">
        <v>8.62068966</v>
      </c>
      <c r="AB16" s="10">
        <v>11.84</v>
      </c>
      <c r="AC16" s="32">
        <v>0.475342284</v>
      </c>
      <c r="AD16" s="12">
        <v>2.96</v>
      </c>
      <c r="AE16" s="32">
        <v>0.19916028099999999</v>
      </c>
      <c r="AF16" s="12">
        <v>0</v>
      </c>
      <c r="AG16" s="12" t="s">
        <v>18</v>
      </c>
      <c r="AH16" s="12">
        <v>0.96</v>
      </c>
      <c r="AI16" s="57">
        <v>0.192308641</v>
      </c>
      <c r="AJ16" s="12">
        <v>2.2189999999999999</v>
      </c>
      <c r="AK16" s="12">
        <v>0.61899999999999999</v>
      </c>
      <c r="AL16" s="12">
        <v>35.380000000000003</v>
      </c>
      <c r="AM16" s="59">
        <v>0.75</v>
      </c>
    </row>
    <row r="17" spans="1:39" s="46" customFormat="1" ht="15" x14ac:dyDescent="0.2">
      <c r="A17" s="9" t="s">
        <v>39</v>
      </c>
      <c r="B17" s="69" t="s">
        <v>166</v>
      </c>
      <c r="C17" s="28" t="s">
        <v>34</v>
      </c>
      <c r="D17" s="28" t="s">
        <v>30</v>
      </c>
      <c r="E17" s="28" t="s">
        <v>31</v>
      </c>
      <c r="F17" s="11" t="s">
        <v>16</v>
      </c>
      <c r="G17" s="10">
        <v>27.23</v>
      </c>
      <c r="H17" s="10">
        <v>0.3</v>
      </c>
      <c r="I17" s="10">
        <v>26.5</v>
      </c>
      <c r="J17" s="10">
        <v>2.5</v>
      </c>
      <c r="K17" s="12">
        <v>1413</v>
      </c>
      <c r="L17" s="12" t="s">
        <v>40</v>
      </c>
      <c r="M17" s="18">
        <v>1063</v>
      </c>
      <c r="N17" s="10">
        <v>26.81</v>
      </c>
      <c r="O17" s="14">
        <f t="shared" si="0"/>
        <v>1.3586501726446987</v>
      </c>
      <c r="P17" s="14">
        <v>10.63</v>
      </c>
      <c r="Q17" s="14">
        <f t="shared" si="1"/>
        <v>0.94535707539532388</v>
      </c>
      <c r="R17" s="31">
        <v>0.65900000000000003</v>
      </c>
      <c r="S17" s="14">
        <f>(R17*(100-R17)/M17)^0.5</f>
        <v>0.24816489033297859</v>
      </c>
      <c r="T17" s="31">
        <v>8.2780000000000005</v>
      </c>
      <c r="U17" s="14">
        <f t="shared" si="3"/>
        <v>0.84514813365877173</v>
      </c>
      <c r="V17" s="31">
        <v>7.056</v>
      </c>
      <c r="W17" s="31">
        <v>8.5609999999999999</v>
      </c>
      <c r="X17" s="10">
        <v>0.28199999999999997</v>
      </c>
      <c r="Y17" s="10">
        <v>3.4809999999999999</v>
      </c>
      <c r="Z17" s="21">
        <v>1.6</v>
      </c>
      <c r="AA17" s="41">
        <v>33.428571400000003</v>
      </c>
      <c r="AB17" s="27">
        <v>25.17142359</v>
      </c>
      <c r="AC17" s="27">
        <v>2.3419437049999998</v>
      </c>
      <c r="AD17" s="27">
        <v>12.682645839999999</v>
      </c>
      <c r="AE17" s="27">
        <v>2.0605211780000001</v>
      </c>
      <c r="AF17" s="27">
        <v>1.8977898</v>
      </c>
      <c r="AG17" s="27">
        <v>1.12100793</v>
      </c>
      <c r="AH17" s="27">
        <v>6.9708016480000001</v>
      </c>
      <c r="AI17" s="60">
        <v>1.166747419</v>
      </c>
      <c r="AJ17" s="47">
        <v>3.02</v>
      </c>
      <c r="AK17" s="47">
        <v>0.71</v>
      </c>
      <c r="AL17" s="27">
        <v>44.626716909999999</v>
      </c>
      <c r="AM17" s="60">
        <v>2.9562995769999998</v>
      </c>
    </row>
    <row r="18" spans="1:39" s="46" customFormat="1" ht="15" x14ac:dyDescent="0.2">
      <c r="A18" s="9" t="s">
        <v>41</v>
      </c>
      <c r="B18" s="69" t="s">
        <v>167</v>
      </c>
      <c r="C18" s="28" t="s">
        <v>34</v>
      </c>
      <c r="D18" s="28" t="s">
        <v>6</v>
      </c>
      <c r="E18" s="28" t="s">
        <v>7</v>
      </c>
      <c r="F18" s="11" t="s">
        <v>16</v>
      </c>
      <c r="G18" s="10">
        <v>33.4</v>
      </c>
      <c r="H18" s="10">
        <v>0.6</v>
      </c>
      <c r="I18" s="10">
        <v>10.4</v>
      </c>
      <c r="J18" s="10">
        <v>2.8</v>
      </c>
      <c r="K18" s="12">
        <f>(1233.8+357.8)/2</f>
        <v>795.8</v>
      </c>
      <c r="L18" s="12">
        <f>795.8-357.8</f>
        <v>437.99999999999994</v>
      </c>
      <c r="M18" s="18">
        <v>415</v>
      </c>
      <c r="N18" s="10">
        <v>25.301205</v>
      </c>
      <c r="O18" s="14">
        <f t="shared" si="0"/>
        <v>2.1340439159153592</v>
      </c>
      <c r="P18" s="10">
        <v>1.927711</v>
      </c>
      <c r="Q18" s="14">
        <f t="shared" si="1"/>
        <v>0.67494762010149523</v>
      </c>
      <c r="R18" s="31">
        <v>0</v>
      </c>
      <c r="S18" s="31">
        <v>0</v>
      </c>
      <c r="T18" s="31">
        <v>0.48192770000000001</v>
      </c>
      <c r="U18" s="20">
        <f t="shared" si="3"/>
        <v>0.33995221383526908</v>
      </c>
      <c r="V18" s="31">
        <v>17.349399999999999</v>
      </c>
      <c r="W18" s="31">
        <v>5.0602</v>
      </c>
      <c r="X18" s="10">
        <v>4.3373489999999997</v>
      </c>
      <c r="Y18" s="10">
        <v>0.7</v>
      </c>
      <c r="Z18" s="21">
        <v>0</v>
      </c>
      <c r="AA18" s="41">
        <v>6.0606060599999996</v>
      </c>
      <c r="AB18" s="14">
        <v>14.58</v>
      </c>
      <c r="AC18" s="10">
        <v>1.04</v>
      </c>
      <c r="AD18" s="10">
        <v>3.6985999999999999</v>
      </c>
      <c r="AE18" s="10">
        <v>0.5262</v>
      </c>
      <c r="AF18" s="10">
        <v>0</v>
      </c>
      <c r="AG18" s="10">
        <v>0</v>
      </c>
      <c r="AH18" s="10">
        <v>0.92466000000000004</v>
      </c>
      <c r="AI18" s="56">
        <v>0.26390000000000002</v>
      </c>
      <c r="AJ18" s="10">
        <v>2.4020899999999998</v>
      </c>
      <c r="AK18" s="14">
        <v>0.76500000000000001</v>
      </c>
      <c r="AL18" s="48">
        <v>21.954499999999999</v>
      </c>
      <c r="AM18" s="55">
        <v>0.89100000000000001</v>
      </c>
    </row>
    <row r="19" spans="1:39" s="46" customFormat="1" ht="15" x14ac:dyDescent="0.2">
      <c r="A19" s="9" t="s">
        <v>42</v>
      </c>
      <c r="B19" s="69" t="s">
        <v>168</v>
      </c>
      <c r="C19" s="10" t="s">
        <v>43</v>
      </c>
      <c r="D19" s="10" t="s">
        <v>6</v>
      </c>
      <c r="E19" s="10" t="s">
        <v>44</v>
      </c>
      <c r="F19" s="11" t="s">
        <v>8</v>
      </c>
      <c r="G19" s="10">
        <v>34.07</v>
      </c>
      <c r="H19" s="10">
        <v>0.1</v>
      </c>
      <c r="I19" s="10">
        <v>14.15</v>
      </c>
      <c r="J19" s="10">
        <v>3.35</v>
      </c>
      <c r="K19" s="12">
        <v>740</v>
      </c>
      <c r="L19" s="12" t="s">
        <v>45</v>
      </c>
      <c r="M19" s="18">
        <v>621</v>
      </c>
      <c r="N19" s="10">
        <v>23.2</v>
      </c>
      <c r="O19" s="14">
        <v>1.6938650310000001</v>
      </c>
      <c r="P19" s="10" t="s">
        <v>18</v>
      </c>
      <c r="Q19" s="10" t="s">
        <v>18</v>
      </c>
      <c r="R19" s="37">
        <v>0</v>
      </c>
      <c r="S19" s="37">
        <v>0</v>
      </c>
      <c r="T19" s="37">
        <v>9</v>
      </c>
      <c r="U19" s="38">
        <f t="shared" si="3"/>
        <v>1.1484078455453641</v>
      </c>
      <c r="V19" s="37">
        <v>53</v>
      </c>
      <c r="W19" s="37">
        <f>(V19*(100-V19)/M19)^0.5</f>
        <v>2.0028160528882637</v>
      </c>
      <c r="X19" s="10">
        <v>4</v>
      </c>
      <c r="Y19" s="10">
        <f>(X19*(100-X19)/M19)^0.5</f>
        <v>0.78635709949278465</v>
      </c>
      <c r="Z19" s="21">
        <v>0</v>
      </c>
      <c r="AA19" s="41" t="s">
        <v>18</v>
      </c>
      <c r="AB19" s="10" t="s">
        <v>18</v>
      </c>
      <c r="AC19" s="10" t="s">
        <v>18</v>
      </c>
      <c r="AD19" s="10" t="s">
        <v>18</v>
      </c>
      <c r="AE19" s="10" t="s">
        <v>18</v>
      </c>
      <c r="AF19" s="10" t="s">
        <v>18</v>
      </c>
      <c r="AG19" s="10" t="s">
        <v>18</v>
      </c>
      <c r="AH19" s="10" t="s">
        <v>18</v>
      </c>
      <c r="AI19" s="56" t="s">
        <v>18</v>
      </c>
      <c r="AJ19" s="10" t="s">
        <v>18</v>
      </c>
      <c r="AK19" s="10" t="s">
        <v>18</v>
      </c>
      <c r="AL19" s="10" t="s">
        <v>18</v>
      </c>
      <c r="AM19" s="56" t="s">
        <v>18</v>
      </c>
    </row>
    <row r="20" spans="1:39" s="46" customFormat="1" ht="15" x14ac:dyDescent="0.2">
      <c r="A20" s="9" t="s">
        <v>46</v>
      </c>
      <c r="B20" s="69" t="s">
        <v>167</v>
      </c>
      <c r="C20" s="10" t="s">
        <v>43</v>
      </c>
      <c r="D20" s="10" t="s">
        <v>6</v>
      </c>
      <c r="E20" s="10" t="s">
        <v>7</v>
      </c>
      <c r="F20" s="11" t="s">
        <v>16</v>
      </c>
      <c r="G20" s="10">
        <v>34.6</v>
      </c>
      <c r="H20" s="10">
        <v>0.8</v>
      </c>
      <c r="I20" s="10">
        <v>15.7</v>
      </c>
      <c r="J20" s="10">
        <v>2.4</v>
      </c>
      <c r="K20" s="12">
        <f>(895.2+2195)/2</f>
        <v>1545.1</v>
      </c>
      <c r="L20" s="12">
        <f>2195-1545.1</f>
        <v>649.90000000000009</v>
      </c>
      <c r="M20" s="18">
        <v>2168</v>
      </c>
      <c r="N20" s="10">
        <v>39.112499999999997</v>
      </c>
      <c r="O20" s="14">
        <f>(N20*(100-N20)/M20)^0.5</f>
        <v>1.0480746589149048</v>
      </c>
      <c r="P20" s="10">
        <v>4.2542999999999997</v>
      </c>
      <c r="Q20" s="14">
        <f>(P20*(100-P20)/M20)^0.5</f>
        <v>0.43345503918134048</v>
      </c>
      <c r="R20" s="31">
        <v>9.1490000000000002E-2</v>
      </c>
      <c r="S20" s="14">
        <f t="shared" ref="S20:S38" si="4">(R20*(100-R20)/M20)^0.5</f>
        <v>6.493194556845211E-2</v>
      </c>
      <c r="T20" s="31">
        <v>2.3330000000000002</v>
      </c>
      <c r="U20" s="20">
        <f t="shared" si="3"/>
        <v>0.32419152279198254</v>
      </c>
      <c r="V20" s="31">
        <v>34.171999999999997</v>
      </c>
      <c r="W20" s="31">
        <v>8.4629999999999992</v>
      </c>
      <c r="X20" s="10">
        <v>2.0127999999999999</v>
      </c>
      <c r="Y20" s="10">
        <v>1.601</v>
      </c>
      <c r="Z20" s="21">
        <v>0.13719999999999999</v>
      </c>
      <c r="AA20" s="41">
        <v>7.1065989900000002</v>
      </c>
      <c r="AB20" s="14">
        <v>20.620570000000001</v>
      </c>
      <c r="AC20" s="10">
        <v>2.306</v>
      </c>
      <c r="AD20" s="10">
        <v>6.3315000000000001</v>
      </c>
      <c r="AE20" s="10">
        <v>1.67109</v>
      </c>
      <c r="AF20" s="10">
        <v>0.27460000000000001</v>
      </c>
      <c r="AG20" s="10">
        <v>0.48659999999999998</v>
      </c>
      <c r="AH20" s="10">
        <v>3.5379</v>
      </c>
      <c r="AI20" s="56">
        <v>1.1399999999999999</v>
      </c>
      <c r="AJ20" s="10">
        <v>1.4656</v>
      </c>
      <c r="AK20" s="14">
        <v>0.37859199999999998</v>
      </c>
      <c r="AL20" s="14">
        <v>22.321681000000002</v>
      </c>
      <c r="AM20" s="55">
        <v>2.637</v>
      </c>
    </row>
    <row r="21" spans="1:39" s="46" customFormat="1" ht="30" x14ac:dyDescent="0.2">
      <c r="A21" s="9" t="s">
        <v>47</v>
      </c>
      <c r="B21" s="69" t="s">
        <v>169</v>
      </c>
      <c r="C21" s="10" t="s">
        <v>48</v>
      </c>
      <c r="D21" s="10" t="s">
        <v>14</v>
      </c>
      <c r="E21" s="10" t="s">
        <v>49</v>
      </c>
      <c r="F21" s="11" t="s">
        <v>16</v>
      </c>
      <c r="G21" s="10">
        <v>35</v>
      </c>
      <c r="H21" s="10">
        <v>3</v>
      </c>
      <c r="I21" s="10">
        <v>8.4</v>
      </c>
      <c r="J21" s="10">
        <v>1.8</v>
      </c>
      <c r="K21" s="12">
        <v>1243</v>
      </c>
      <c r="L21" s="12">
        <v>430</v>
      </c>
      <c r="M21" s="18">
        <v>387</v>
      </c>
      <c r="N21" s="10">
        <v>20.41</v>
      </c>
      <c r="O21" s="14">
        <f>(N21*(100-N21)/M21)^0.5</f>
        <v>2.048779746486284</v>
      </c>
      <c r="P21" s="10">
        <v>5.1680000000000001</v>
      </c>
      <c r="Q21" s="14">
        <f>(P21*(100-P21)/M21)^0.5</f>
        <v>1.1253386237430292</v>
      </c>
      <c r="R21" s="17">
        <v>2.5840000000000001</v>
      </c>
      <c r="S21" s="14">
        <f t="shared" si="4"/>
        <v>0.80650287272949639</v>
      </c>
      <c r="T21" s="17">
        <v>1.55</v>
      </c>
      <c r="U21" s="26">
        <f t="shared" si="3"/>
        <v>0.62794011301215324</v>
      </c>
      <c r="V21" s="17">
        <v>9.5609999999999999</v>
      </c>
      <c r="W21" s="17">
        <v>6.9770000000000003</v>
      </c>
      <c r="X21" s="10">
        <v>0.77500000000000002</v>
      </c>
      <c r="Y21" s="10">
        <v>0.77500000000000002</v>
      </c>
      <c r="Z21" s="21">
        <v>0</v>
      </c>
      <c r="AA21" s="41">
        <v>22.222222200000001</v>
      </c>
      <c r="AB21" s="39">
        <v>15.912310809999999</v>
      </c>
      <c r="AC21" s="39">
        <v>1.2642096060000001</v>
      </c>
      <c r="AD21" s="39">
        <v>7.8152699769999998</v>
      </c>
      <c r="AE21" s="39">
        <v>0.95992026200000002</v>
      </c>
      <c r="AF21" s="39">
        <v>3.331579327</v>
      </c>
      <c r="AG21" s="39">
        <v>0.71888899399999995</v>
      </c>
      <c r="AH21" s="39">
        <v>2.7172504169999998</v>
      </c>
      <c r="AI21" s="65">
        <v>0.47957049899999998</v>
      </c>
      <c r="AJ21" s="10">
        <v>2.242</v>
      </c>
      <c r="AK21" s="10">
        <v>0.68799999999999994</v>
      </c>
      <c r="AL21" s="32">
        <v>24.056396549999999</v>
      </c>
      <c r="AM21" s="57">
        <v>1.2256209330000001</v>
      </c>
    </row>
    <row r="22" spans="1:39" s="46" customFormat="1" ht="42" customHeight="1" x14ac:dyDescent="0.2">
      <c r="A22" s="9" t="s">
        <v>50</v>
      </c>
      <c r="B22" s="68" t="s">
        <v>170</v>
      </c>
      <c r="C22" s="10" t="s">
        <v>43</v>
      </c>
      <c r="D22" s="10" t="s">
        <v>6</v>
      </c>
      <c r="E22" s="10" t="s">
        <v>7</v>
      </c>
      <c r="F22" s="11" t="s">
        <v>27</v>
      </c>
      <c r="G22" s="10">
        <f>(41.2+33.9)/2</f>
        <v>37.549999999999997</v>
      </c>
      <c r="H22" s="25">
        <f>37.55-33.9</f>
        <v>3.6499999999999986</v>
      </c>
      <c r="I22" s="10">
        <v>16.100000000000001</v>
      </c>
      <c r="J22" s="10">
        <v>2.1</v>
      </c>
      <c r="K22" s="12">
        <f>(1308+1335)/2</f>
        <v>1321.5</v>
      </c>
      <c r="L22" s="12">
        <f>1321.5-1308</f>
        <v>13.5</v>
      </c>
      <c r="M22" s="18">
        <v>1455</v>
      </c>
      <c r="N22" s="10">
        <v>6.32</v>
      </c>
      <c r="O22" s="14">
        <f>(N22*(100-N22)/M22)^0.5</f>
        <v>0.63789688811166256</v>
      </c>
      <c r="P22" s="10">
        <v>1.581</v>
      </c>
      <c r="Q22" s="14">
        <f>(P22*(100-P22)/M22)^0.5</f>
        <v>0.32701969737957193</v>
      </c>
      <c r="R22" s="31">
        <v>0.13739999999999999</v>
      </c>
      <c r="S22" s="14">
        <f t="shared" si="4"/>
        <v>9.710985468163702E-2</v>
      </c>
      <c r="T22" s="31">
        <v>0.82474230000000004</v>
      </c>
      <c r="U22" s="20">
        <f t="shared" si="3"/>
        <v>0.23709877324428633</v>
      </c>
      <c r="V22" s="31">
        <v>2.8860000000000001</v>
      </c>
      <c r="W22" s="31">
        <v>1.5807</v>
      </c>
      <c r="X22" s="10">
        <v>0.48110000000000003</v>
      </c>
      <c r="Y22" s="10">
        <v>1.718</v>
      </c>
      <c r="Z22" s="21">
        <v>0.13750000000000001</v>
      </c>
      <c r="AA22" s="41">
        <v>16.546762600000001</v>
      </c>
      <c r="AB22" s="10">
        <v>12.57</v>
      </c>
      <c r="AC22" s="10">
        <v>2.11</v>
      </c>
      <c r="AD22" s="10">
        <v>3.665</v>
      </c>
      <c r="AE22" s="10">
        <v>1.3579000000000001</v>
      </c>
      <c r="AF22" s="10">
        <v>0.41299999999999998</v>
      </c>
      <c r="AG22" s="10">
        <v>0.57199999999999995</v>
      </c>
      <c r="AH22" s="10">
        <v>1.7410000000000001</v>
      </c>
      <c r="AI22" s="56">
        <v>0.81359999999999999</v>
      </c>
      <c r="AJ22" s="10">
        <v>1.7266999999999999</v>
      </c>
      <c r="AK22" s="10">
        <v>0.47499999999999998</v>
      </c>
      <c r="AL22" s="10">
        <v>19.149999999999999</v>
      </c>
      <c r="AM22" s="56">
        <v>2.2599999999999998</v>
      </c>
    </row>
    <row r="23" spans="1:39" s="46" customFormat="1" ht="30" x14ac:dyDescent="0.2">
      <c r="A23" s="9" t="s">
        <v>51</v>
      </c>
      <c r="B23" s="69" t="s">
        <v>171</v>
      </c>
      <c r="C23" s="10" t="s">
        <v>43</v>
      </c>
      <c r="D23" s="29" t="s">
        <v>6</v>
      </c>
      <c r="E23" s="29" t="s">
        <v>7</v>
      </c>
      <c r="F23" s="11" t="s">
        <v>8</v>
      </c>
      <c r="G23" s="10">
        <v>44.3</v>
      </c>
      <c r="H23" s="10">
        <v>0.4</v>
      </c>
      <c r="I23" s="10">
        <v>17.34</v>
      </c>
      <c r="J23" s="10" t="s">
        <v>17</v>
      </c>
      <c r="K23" s="35" t="s">
        <v>17</v>
      </c>
      <c r="L23" s="12" t="s">
        <v>18</v>
      </c>
      <c r="M23" s="18">
        <v>4018</v>
      </c>
      <c r="N23" s="10">
        <v>15.45</v>
      </c>
      <c r="O23" s="14">
        <f>(N23*(100-N23)/M23)^0.5</f>
        <v>0.57018538548249353</v>
      </c>
      <c r="P23" s="10">
        <v>5.38</v>
      </c>
      <c r="Q23" s="14">
        <f>(P23*(100-P23)/M23)^0.5</f>
        <v>0.35594069449699695</v>
      </c>
      <c r="R23" s="31">
        <v>1.54</v>
      </c>
      <c r="S23" s="14">
        <f t="shared" si="4"/>
        <v>0.19426086129214282</v>
      </c>
      <c r="T23" s="31">
        <v>3.16</v>
      </c>
      <c r="U23" s="20">
        <f t="shared" si="3"/>
        <v>0.27597260019382391</v>
      </c>
      <c r="V23" s="31">
        <v>4.2</v>
      </c>
      <c r="W23" s="31">
        <v>7.81</v>
      </c>
      <c r="X23" s="10">
        <v>0.82</v>
      </c>
      <c r="Y23" s="10">
        <v>0.55000000000000004</v>
      </c>
      <c r="Z23" s="21">
        <v>0.17</v>
      </c>
      <c r="AA23" s="41">
        <v>29.8089172</v>
      </c>
      <c r="AB23" s="40">
        <v>25.06377264</v>
      </c>
      <c r="AC23" s="40">
        <v>3.4453845529999998</v>
      </c>
      <c r="AD23" s="40">
        <v>12.77599929</v>
      </c>
      <c r="AE23" s="40">
        <v>2.757009225</v>
      </c>
      <c r="AF23" s="40">
        <v>3.8514875260000001</v>
      </c>
      <c r="AG23" s="40">
        <v>1.6077730530000001</v>
      </c>
      <c r="AH23" s="40">
        <v>6.7892528409999997</v>
      </c>
      <c r="AI23" s="61">
        <v>1.814799636</v>
      </c>
      <c r="AJ23" s="10">
        <v>2.774</v>
      </c>
      <c r="AK23" s="10">
        <v>0.70899999999999996</v>
      </c>
      <c r="AL23" s="40">
        <v>36.403395600000003</v>
      </c>
      <c r="AM23" s="61">
        <v>2.3579166329999999</v>
      </c>
    </row>
    <row r="24" spans="1:39" s="46" customFormat="1" ht="15" x14ac:dyDescent="0.2">
      <c r="A24" s="9" t="s">
        <v>52</v>
      </c>
      <c r="B24" s="69" t="s">
        <v>168</v>
      </c>
      <c r="C24" s="10" t="s">
        <v>43</v>
      </c>
      <c r="D24" s="29" t="s">
        <v>6</v>
      </c>
      <c r="E24" s="29" t="s">
        <v>44</v>
      </c>
      <c r="F24" s="11" t="s">
        <v>8</v>
      </c>
      <c r="G24" s="10">
        <v>45</v>
      </c>
      <c r="H24" s="10">
        <v>2</v>
      </c>
      <c r="I24" s="10">
        <v>19.5</v>
      </c>
      <c r="J24" s="10">
        <v>3.5</v>
      </c>
      <c r="K24" s="41">
        <v>655</v>
      </c>
      <c r="L24" s="41">
        <v>255</v>
      </c>
      <c r="M24" s="18">
        <v>584</v>
      </c>
      <c r="N24" s="10">
        <v>33.6</v>
      </c>
      <c r="O24" s="14">
        <v>1.9545521159999999</v>
      </c>
      <c r="P24" s="10" t="s">
        <v>18</v>
      </c>
      <c r="Q24" s="10" t="s">
        <v>18</v>
      </c>
      <c r="R24" s="31">
        <v>1</v>
      </c>
      <c r="S24" s="31">
        <f t="shared" si="4"/>
        <v>0.41172873101740848</v>
      </c>
      <c r="T24" s="31">
        <v>4</v>
      </c>
      <c r="U24" s="20">
        <f t="shared" si="3"/>
        <v>0.81088485407938315</v>
      </c>
      <c r="V24" s="31">
        <v>44</v>
      </c>
      <c r="W24" s="31">
        <f>(V24*(100-V24)/M24)^0.5</f>
        <v>2.0540637970111302</v>
      </c>
      <c r="X24" s="10">
        <v>8</v>
      </c>
      <c r="Y24" s="10">
        <f>(X24*(100-X24)/M24)^0.5</f>
        <v>1.122619246495774</v>
      </c>
      <c r="Z24" s="21">
        <v>0</v>
      </c>
      <c r="AA24" s="41" t="s">
        <v>18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18</v>
      </c>
      <c r="AG24" s="10" t="s">
        <v>18</v>
      </c>
      <c r="AH24" s="10" t="s">
        <v>18</v>
      </c>
      <c r="AI24" s="56" t="s">
        <v>18</v>
      </c>
      <c r="AJ24" s="10" t="s">
        <v>18</v>
      </c>
      <c r="AK24" s="10" t="s">
        <v>18</v>
      </c>
      <c r="AL24" s="10" t="s">
        <v>18</v>
      </c>
      <c r="AM24" s="56" t="s">
        <v>18</v>
      </c>
    </row>
    <row r="25" spans="1:39" s="46" customFormat="1" ht="15" x14ac:dyDescent="0.2">
      <c r="A25" s="9" t="s">
        <v>53</v>
      </c>
      <c r="B25" s="69" t="s">
        <v>172</v>
      </c>
      <c r="C25" s="10" t="s">
        <v>43</v>
      </c>
      <c r="D25" s="29" t="s">
        <v>6</v>
      </c>
      <c r="E25" s="29" t="s">
        <v>44</v>
      </c>
      <c r="F25" s="11" t="s">
        <v>8</v>
      </c>
      <c r="G25" s="10">
        <v>47.3</v>
      </c>
      <c r="H25" s="10">
        <v>0.1</v>
      </c>
      <c r="I25" s="10">
        <v>14.3</v>
      </c>
      <c r="J25" s="10">
        <v>2.9</v>
      </c>
      <c r="K25" s="12">
        <v>840</v>
      </c>
      <c r="L25" s="12" t="s">
        <v>54</v>
      </c>
      <c r="M25" s="18">
        <v>894</v>
      </c>
      <c r="N25" s="10">
        <v>25.8</v>
      </c>
      <c r="O25" s="14">
        <f>(N25*(100-N25)/M25)^0.5</f>
        <v>1.4633325944156355</v>
      </c>
      <c r="P25" s="10">
        <v>5.82</v>
      </c>
      <c r="Q25" s="14">
        <f>(P25*(100-P25)/M25)^0.5</f>
        <v>0.78301859544034402</v>
      </c>
      <c r="R25" s="31">
        <v>0.33</v>
      </c>
      <c r="S25" s="14">
        <f t="shared" si="4"/>
        <v>0.19180964417180757</v>
      </c>
      <c r="T25" s="31">
        <v>1.34</v>
      </c>
      <c r="U25" s="20">
        <f t="shared" si="3"/>
        <v>0.38455122163135241</v>
      </c>
      <c r="V25" s="31">
        <v>9.51</v>
      </c>
      <c r="W25" s="31">
        <v>8.7200000000000006</v>
      </c>
      <c r="X25" s="10">
        <v>1.78</v>
      </c>
      <c r="Y25" s="10">
        <v>1.34</v>
      </c>
      <c r="Z25" s="21">
        <v>0</v>
      </c>
      <c r="AA25" s="41">
        <v>23.275862100000001</v>
      </c>
      <c r="AB25" s="10">
        <v>18.196999999999999</v>
      </c>
      <c r="AC25" s="10">
        <v>2</v>
      </c>
      <c r="AD25" s="10">
        <v>7.67</v>
      </c>
      <c r="AE25" s="10">
        <v>1.67</v>
      </c>
      <c r="AF25" s="10">
        <v>1</v>
      </c>
      <c r="AG25" s="10">
        <v>0.82</v>
      </c>
      <c r="AH25" s="10">
        <v>2.48</v>
      </c>
      <c r="AI25" s="56">
        <v>0.67</v>
      </c>
      <c r="AJ25" s="10">
        <v>2.0920000000000001</v>
      </c>
      <c r="AK25" s="10">
        <v>0.628</v>
      </c>
      <c r="AL25" s="10">
        <v>19.41</v>
      </c>
      <c r="AM25" s="56">
        <v>1.8</v>
      </c>
    </row>
    <row r="26" spans="1:39" s="46" customFormat="1" ht="15" x14ac:dyDescent="0.2">
      <c r="A26" s="9" t="s">
        <v>55</v>
      </c>
      <c r="B26" s="69" t="s">
        <v>173</v>
      </c>
      <c r="C26" s="10" t="s">
        <v>43</v>
      </c>
      <c r="D26" s="29" t="s">
        <v>6</v>
      </c>
      <c r="E26" s="29" t="s">
        <v>7</v>
      </c>
      <c r="F26" s="11" t="s">
        <v>8</v>
      </c>
      <c r="G26" s="10">
        <v>47.8</v>
      </c>
      <c r="H26" s="10">
        <v>0.2</v>
      </c>
      <c r="I26" s="10">
        <v>22.4</v>
      </c>
      <c r="J26" s="10">
        <v>1.1399999999999999</v>
      </c>
      <c r="K26" s="12">
        <v>1671</v>
      </c>
      <c r="L26" s="12">
        <v>868</v>
      </c>
      <c r="M26" s="18">
        <v>5499</v>
      </c>
      <c r="N26" s="10">
        <v>25.477</v>
      </c>
      <c r="O26" s="14">
        <f>(N26*(100-N26)/M26)^0.5</f>
        <v>0.58759412984589177</v>
      </c>
      <c r="P26" s="10">
        <v>9.3800000000000008</v>
      </c>
      <c r="Q26" s="14">
        <f>(P26*(100-P26)/M26)^0.5</f>
        <v>0.39316204764487456</v>
      </c>
      <c r="R26" s="17">
        <v>2.75</v>
      </c>
      <c r="S26" s="14">
        <f t="shared" si="4"/>
        <v>0.2205308198797194</v>
      </c>
      <c r="T26" s="17">
        <v>7.601</v>
      </c>
      <c r="U26" s="26">
        <f t="shared" si="3"/>
        <v>0.35737744692527962</v>
      </c>
      <c r="V26" s="17">
        <v>4.492</v>
      </c>
      <c r="W26" s="17">
        <v>11.311</v>
      </c>
      <c r="X26" s="10">
        <v>0.89100000000000001</v>
      </c>
      <c r="Y26" s="10">
        <v>1.109</v>
      </c>
      <c r="Z26" s="21">
        <v>0.18179999999999999</v>
      </c>
      <c r="AA26" s="41">
        <v>33.048780499999999</v>
      </c>
      <c r="AB26" s="40">
        <v>33.167843120000001</v>
      </c>
      <c r="AC26" s="40">
        <v>3.7047105889999998</v>
      </c>
      <c r="AD26" s="40">
        <v>17.523065500000001</v>
      </c>
      <c r="AE26" s="40">
        <v>2.854269092</v>
      </c>
      <c r="AF26" s="40">
        <v>5.100777355</v>
      </c>
      <c r="AG26" s="40">
        <v>1.5432560449999999</v>
      </c>
      <c r="AH26" s="40">
        <v>12.272937110000001</v>
      </c>
      <c r="AI26" s="61">
        <v>2.11722872</v>
      </c>
      <c r="AJ26" s="10">
        <v>3.4769999999999999</v>
      </c>
      <c r="AK26" s="10">
        <v>0.76700000000000002</v>
      </c>
      <c r="AL26" s="40">
        <v>59.191220139999999</v>
      </c>
      <c r="AM26" s="61">
        <v>3.6678335030000002</v>
      </c>
    </row>
    <row r="27" spans="1:39" s="46" customFormat="1" ht="15" x14ac:dyDescent="0.2">
      <c r="A27" s="9" t="s">
        <v>56</v>
      </c>
      <c r="B27" s="69" t="s">
        <v>174</v>
      </c>
      <c r="C27" s="10" t="s">
        <v>43</v>
      </c>
      <c r="D27" s="10" t="s">
        <v>57</v>
      </c>
      <c r="E27" s="10" t="s">
        <v>58</v>
      </c>
      <c r="F27" s="11" t="s">
        <v>8</v>
      </c>
      <c r="G27" s="10">
        <v>49</v>
      </c>
      <c r="H27" s="10">
        <v>8</v>
      </c>
      <c r="I27" s="10">
        <v>6.9</v>
      </c>
      <c r="J27" s="10">
        <v>3.5</v>
      </c>
      <c r="K27" s="12">
        <v>1500</v>
      </c>
      <c r="L27" s="12" t="s">
        <v>18</v>
      </c>
      <c r="M27" s="18">
        <f>1241-6</f>
        <v>1235</v>
      </c>
      <c r="N27" s="10">
        <v>9.8000000000000007</v>
      </c>
      <c r="O27" s="10" t="s">
        <v>18</v>
      </c>
      <c r="P27" s="10" t="s">
        <v>18</v>
      </c>
      <c r="Q27" s="10" t="s">
        <v>18</v>
      </c>
      <c r="R27" s="10">
        <f>5/1235*100</f>
        <v>0.40485829959514169</v>
      </c>
      <c r="S27" s="14">
        <f t="shared" si="4"/>
        <v>0.18069124966605621</v>
      </c>
      <c r="T27" s="31">
        <f>26/1235*100</f>
        <v>2.1052631578947367</v>
      </c>
      <c r="U27" s="26">
        <f t="shared" si="3"/>
        <v>0.40850689202307472</v>
      </c>
      <c r="V27" s="10">
        <v>6.4</v>
      </c>
      <c r="W27" s="10">
        <v>2.35</v>
      </c>
      <c r="X27" s="10">
        <f>1/1235*100</f>
        <v>8.0971659919028341E-2</v>
      </c>
      <c r="Y27" s="10">
        <v>0</v>
      </c>
      <c r="Z27" s="21">
        <v>0</v>
      </c>
      <c r="AA27" s="41" t="s">
        <v>18</v>
      </c>
      <c r="AB27" s="10" t="s">
        <v>18</v>
      </c>
      <c r="AC27" s="10" t="s">
        <v>18</v>
      </c>
      <c r="AD27" s="10" t="s">
        <v>18</v>
      </c>
      <c r="AE27" s="10" t="s">
        <v>18</v>
      </c>
      <c r="AF27" s="10" t="s">
        <v>18</v>
      </c>
      <c r="AG27" s="10" t="s">
        <v>18</v>
      </c>
      <c r="AH27" s="10" t="s">
        <v>18</v>
      </c>
      <c r="AI27" s="56" t="s">
        <v>18</v>
      </c>
      <c r="AJ27" s="10" t="s">
        <v>18</v>
      </c>
      <c r="AK27" s="10" t="s">
        <v>18</v>
      </c>
      <c r="AL27" s="10" t="s">
        <v>18</v>
      </c>
      <c r="AM27" s="56" t="s">
        <v>18</v>
      </c>
    </row>
    <row r="28" spans="1:39" s="46" customFormat="1" ht="15" x14ac:dyDescent="0.2">
      <c r="A28" s="9" t="s">
        <v>59</v>
      </c>
      <c r="B28" s="69" t="s">
        <v>175</v>
      </c>
      <c r="C28" s="10" t="s">
        <v>43</v>
      </c>
      <c r="D28" s="49" t="s">
        <v>6</v>
      </c>
      <c r="E28" s="49" t="s">
        <v>44</v>
      </c>
      <c r="F28" s="11" t="s">
        <v>16</v>
      </c>
      <c r="G28" s="10">
        <f>(50+48.25)/2</f>
        <v>49.125</v>
      </c>
      <c r="H28" s="10">
        <v>0.875</v>
      </c>
      <c r="I28" s="10">
        <v>14.6</v>
      </c>
      <c r="J28" s="10">
        <v>3</v>
      </c>
      <c r="K28" s="12">
        <v>1190</v>
      </c>
      <c r="L28" s="12" t="s">
        <v>150</v>
      </c>
      <c r="M28" s="18">
        <v>908</v>
      </c>
      <c r="N28" s="10">
        <v>9.5</v>
      </c>
      <c r="O28" s="10">
        <v>1.1499999999999999</v>
      </c>
      <c r="P28" s="10">
        <v>3.2</v>
      </c>
      <c r="Q28" s="14">
        <f t="shared" ref="Q28:Q38" si="5">(P28*(100-P28)/M28)^0.5</f>
        <v>0.58407651420797535</v>
      </c>
      <c r="R28" s="31">
        <v>0.7</v>
      </c>
      <c r="S28" s="26">
        <f t="shared" si="4"/>
        <v>0.27668188129352334</v>
      </c>
      <c r="T28" s="31">
        <v>1</v>
      </c>
      <c r="U28" s="26">
        <f t="shared" si="3"/>
        <v>0.33019817837838733</v>
      </c>
      <c r="V28" s="31">
        <v>4.9000000000000004</v>
      </c>
      <c r="W28" s="31">
        <v>0.9</v>
      </c>
      <c r="X28" s="10">
        <v>0.9</v>
      </c>
      <c r="Y28" s="10">
        <v>1.2</v>
      </c>
      <c r="Z28" s="21">
        <v>1.5</v>
      </c>
      <c r="AA28" s="41">
        <v>29.090909100000001</v>
      </c>
      <c r="AB28" s="15">
        <v>18.134546239999999</v>
      </c>
      <c r="AC28" s="15">
        <v>3.025771803</v>
      </c>
      <c r="AD28" s="15">
        <v>7.2626718190000004</v>
      </c>
      <c r="AE28" s="15">
        <v>2.0318595140000002</v>
      </c>
      <c r="AF28" s="15">
        <v>1.8754018059999999</v>
      </c>
      <c r="AG28" s="15">
        <v>1.0616684439999999</v>
      </c>
      <c r="AH28" s="15">
        <v>2.080365923</v>
      </c>
      <c r="AI28" s="62">
        <v>0.89567386500000001</v>
      </c>
      <c r="AJ28" s="15">
        <v>2.4296220000000002</v>
      </c>
      <c r="AK28" s="15">
        <v>0.75480451299999995</v>
      </c>
      <c r="AL28" s="15">
        <v>20.246741920000002</v>
      </c>
      <c r="AM28" s="62">
        <v>1.498110566</v>
      </c>
    </row>
    <row r="29" spans="1:39" s="46" customFormat="1" ht="15" x14ac:dyDescent="0.2">
      <c r="A29" s="9" t="s">
        <v>60</v>
      </c>
      <c r="B29" s="69" t="s">
        <v>176</v>
      </c>
      <c r="C29" s="10" t="s">
        <v>43</v>
      </c>
      <c r="D29" s="29" t="s">
        <v>6</v>
      </c>
      <c r="E29" s="29" t="s">
        <v>44</v>
      </c>
      <c r="F29" s="12" t="s">
        <v>8</v>
      </c>
      <c r="G29" s="10">
        <v>49.4</v>
      </c>
      <c r="H29" s="10">
        <v>0.54</v>
      </c>
      <c r="I29" s="10">
        <v>13</v>
      </c>
      <c r="J29" s="10">
        <v>2</v>
      </c>
      <c r="K29" s="12">
        <v>1150</v>
      </c>
      <c r="L29" s="12">
        <v>390</v>
      </c>
      <c r="M29" s="18">
        <v>1019</v>
      </c>
      <c r="N29" s="10">
        <v>49.4</v>
      </c>
      <c r="O29" s="14">
        <f>(N29*(100-N29)/M29)^0.5</f>
        <v>1.5662159444632382</v>
      </c>
      <c r="P29" s="10">
        <v>12.95</v>
      </c>
      <c r="Q29" s="14">
        <f t="shared" si="5"/>
        <v>1.0517976107289988</v>
      </c>
      <c r="R29" s="31">
        <v>9.8000000000000004E-2</v>
      </c>
      <c r="S29" s="14">
        <f t="shared" si="4"/>
        <v>9.8019625120350534E-2</v>
      </c>
      <c r="T29" s="31">
        <v>1.96</v>
      </c>
      <c r="U29" s="20">
        <f t="shared" si="3"/>
        <v>0.43425276757123576</v>
      </c>
      <c r="V29" s="31">
        <v>34.936</v>
      </c>
      <c r="W29" s="31">
        <v>24.827999999999999</v>
      </c>
      <c r="X29" s="10">
        <v>1.27</v>
      </c>
      <c r="Y29" s="10">
        <v>2.16</v>
      </c>
      <c r="Z29" s="21">
        <v>0.39</v>
      </c>
      <c r="AA29" s="41">
        <v>14.752370900000001</v>
      </c>
      <c r="AB29" s="10">
        <v>24.4</v>
      </c>
      <c r="AC29" s="10">
        <v>1.82</v>
      </c>
      <c r="AD29" s="10">
        <v>8.68</v>
      </c>
      <c r="AE29" s="10">
        <v>1.62</v>
      </c>
      <c r="AF29" s="10">
        <v>0.28999999999999998</v>
      </c>
      <c r="AG29" s="10">
        <v>0.45500000000000002</v>
      </c>
      <c r="AH29" s="10">
        <v>3.15</v>
      </c>
      <c r="AI29" s="56">
        <v>0.87</v>
      </c>
      <c r="AJ29" s="10">
        <v>2.3079999999999998</v>
      </c>
      <c r="AK29" s="10">
        <v>0.56799999999999995</v>
      </c>
      <c r="AL29" s="10">
        <v>33.5</v>
      </c>
      <c r="AM29" s="56">
        <v>2.9</v>
      </c>
    </row>
    <row r="30" spans="1:39" s="46" customFormat="1" ht="15" x14ac:dyDescent="0.2">
      <c r="A30" s="9" t="s">
        <v>61</v>
      </c>
      <c r="B30" s="69" t="s">
        <v>177</v>
      </c>
      <c r="C30" s="10" t="s">
        <v>43</v>
      </c>
      <c r="D30" s="10" t="s">
        <v>24</v>
      </c>
      <c r="E30" s="10" t="s">
        <v>62</v>
      </c>
      <c r="F30" s="11" t="s">
        <v>8</v>
      </c>
      <c r="G30" s="10">
        <v>51.25</v>
      </c>
      <c r="H30" s="10">
        <v>0.5</v>
      </c>
      <c r="I30" s="10">
        <v>18.600000000000001</v>
      </c>
      <c r="J30" s="10">
        <v>2.1</v>
      </c>
      <c r="K30" s="12">
        <v>1120</v>
      </c>
      <c r="L30" s="12" t="s">
        <v>151</v>
      </c>
      <c r="M30" s="18">
        <v>518</v>
      </c>
      <c r="N30" s="10">
        <v>29.536999999999999</v>
      </c>
      <c r="O30" s="14">
        <f>(N30*(100-N30)/M30)^0.5</f>
        <v>2.0044668414650362</v>
      </c>
      <c r="P30" s="10">
        <v>8.8800000000000008</v>
      </c>
      <c r="Q30" s="14">
        <f t="shared" si="5"/>
        <v>1.2498228445892414</v>
      </c>
      <c r="R30" s="31">
        <v>0.38600000000000001</v>
      </c>
      <c r="S30" s="26">
        <f t="shared" si="4"/>
        <v>0.27245134877944255</v>
      </c>
      <c r="T30" s="31">
        <v>1.351</v>
      </c>
      <c r="U30" s="26">
        <f t="shared" si="3"/>
        <v>0.50723491279362531</v>
      </c>
      <c r="V30" s="31">
        <v>16.795000000000002</v>
      </c>
      <c r="W30" s="31">
        <v>14.865</v>
      </c>
      <c r="X30" s="10">
        <v>4.4400000000000004</v>
      </c>
      <c r="Y30" s="10">
        <v>1.1579999999999999</v>
      </c>
      <c r="Z30" s="21">
        <v>0</v>
      </c>
      <c r="AA30" s="41">
        <v>18.439716300000001</v>
      </c>
      <c r="AB30" s="32">
        <v>26.146000000000001</v>
      </c>
      <c r="AC30" s="32">
        <v>2.0099999999999998</v>
      </c>
      <c r="AD30" s="10">
        <v>13.082000000000001</v>
      </c>
      <c r="AE30" s="10">
        <v>1.802</v>
      </c>
      <c r="AF30" s="10">
        <v>1.161</v>
      </c>
      <c r="AG30" s="10">
        <v>0.7</v>
      </c>
      <c r="AH30" s="10">
        <v>2.911</v>
      </c>
      <c r="AI30" s="56">
        <v>0.83399999999999996</v>
      </c>
      <c r="AJ30" s="10">
        <v>2.4420000000000002</v>
      </c>
      <c r="AK30" s="10">
        <v>0.64200000000000002</v>
      </c>
      <c r="AL30" s="10">
        <v>35.213000000000001</v>
      </c>
      <c r="AM30" s="56">
        <v>2.37</v>
      </c>
    </row>
    <row r="31" spans="1:39" s="46" customFormat="1" ht="15" x14ac:dyDescent="0.2">
      <c r="A31" s="9" t="s">
        <v>63</v>
      </c>
      <c r="B31" s="69" t="s">
        <v>177</v>
      </c>
      <c r="C31" s="10" t="s">
        <v>43</v>
      </c>
      <c r="D31" s="10" t="s">
        <v>24</v>
      </c>
      <c r="E31" s="10" t="s">
        <v>62</v>
      </c>
      <c r="F31" s="11" t="s">
        <v>8</v>
      </c>
      <c r="G31" s="10">
        <v>51.47</v>
      </c>
      <c r="H31" s="10">
        <v>0.5</v>
      </c>
      <c r="I31" s="10">
        <v>14.2</v>
      </c>
      <c r="J31" s="10">
        <v>1.9</v>
      </c>
      <c r="K31" s="12">
        <v>1090</v>
      </c>
      <c r="L31" s="12" t="s">
        <v>64</v>
      </c>
      <c r="M31" s="18">
        <v>779</v>
      </c>
      <c r="N31" s="10">
        <v>29.524999999999999</v>
      </c>
      <c r="O31" s="14">
        <f>(N31*(100-N31)/M31)^0.5</f>
        <v>1.634345104833884</v>
      </c>
      <c r="P31" s="10">
        <v>9.8800000000000008</v>
      </c>
      <c r="Q31" s="14">
        <f t="shared" si="5"/>
        <v>1.0691049367829422</v>
      </c>
      <c r="R31" s="31">
        <v>2.1819999999999999</v>
      </c>
      <c r="S31" s="26">
        <f t="shared" si="4"/>
        <v>0.52344135769179878</v>
      </c>
      <c r="T31" s="31">
        <v>2.0539999999999998</v>
      </c>
      <c r="U31" s="26">
        <f t="shared" si="3"/>
        <v>0.50818851181722302</v>
      </c>
      <c r="V31" s="31">
        <v>17.457999999999998</v>
      </c>
      <c r="W31" s="31">
        <v>12.837</v>
      </c>
      <c r="X31" s="10">
        <v>1.4119999999999999</v>
      </c>
      <c r="Y31" s="10">
        <v>1.155</v>
      </c>
      <c r="Z31" s="21">
        <v>0.77</v>
      </c>
      <c r="AA31" s="41">
        <v>20.802005000000001</v>
      </c>
      <c r="AB31" s="32">
        <v>24.768999999999998</v>
      </c>
      <c r="AC31" s="32">
        <v>2.089</v>
      </c>
      <c r="AD31" s="10">
        <v>12.176</v>
      </c>
      <c r="AE31" s="10">
        <v>1.7450000000000001</v>
      </c>
      <c r="AF31" s="10">
        <v>4.3760000000000003</v>
      </c>
      <c r="AG31" s="10">
        <v>1.179</v>
      </c>
      <c r="AH31" s="10">
        <v>2.3929999999999998</v>
      </c>
      <c r="AI31" s="56">
        <v>0.84199999999999997</v>
      </c>
      <c r="AJ31" s="10">
        <v>2.7509999999999999</v>
      </c>
      <c r="AK31" s="10">
        <v>0.68600000000000005</v>
      </c>
      <c r="AL31" s="10">
        <v>39.414000000000001</v>
      </c>
      <c r="AM31" s="56">
        <v>2.65</v>
      </c>
    </row>
    <row r="32" spans="1:39" s="46" customFormat="1" ht="15" x14ac:dyDescent="0.2">
      <c r="A32" s="9" t="s">
        <v>65</v>
      </c>
      <c r="B32" s="69" t="s">
        <v>177</v>
      </c>
      <c r="C32" s="10" t="s">
        <v>43</v>
      </c>
      <c r="D32" s="10" t="s">
        <v>24</v>
      </c>
      <c r="E32" s="10" t="s">
        <v>62</v>
      </c>
      <c r="F32" s="11" t="s">
        <v>8</v>
      </c>
      <c r="G32" s="10">
        <v>51.77</v>
      </c>
      <c r="H32" s="10">
        <v>0.5</v>
      </c>
      <c r="I32" s="10">
        <v>18.2</v>
      </c>
      <c r="J32" s="10">
        <v>1.9</v>
      </c>
      <c r="K32" s="12">
        <v>1048</v>
      </c>
      <c r="L32" s="12" t="s">
        <v>152</v>
      </c>
      <c r="M32" s="18">
        <v>593</v>
      </c>
      <c r="N32" s="10">
        <v>32.880000000000003</v>
      </c>
      <c r="O32" s="14">
        <f>(N32*(100-N32)/M32)^0.5</f>
        <v>1.9291434896632107</v>
      </c>
      <c r="P32" s="10">
        <v>10.97</v>
      </c>
      <c r="Q32" s="14">
        <f t="shared" si="5"/>
        <v>1.2833471597920707</v>
      </c>
      <c r="R32" s="31">
        <v>2.5289999999999999</v>
      </c>
      <c r="S32" s="26">
        <f t="shared" si="4"/>
        <v>0.64474024339283564</v>
      </c>
      <c r="T32" s="31">
        <v>2.5299999999999998</v>
      </c>
      <c r="U32" s="26">
        <f t="shared" si="3"/>
        <v>0.64486439219190261</v>
      </c>
      <c r="V32" s="31">
        <v>19.224</v>
      </c>
      <c r="W32" s="31">
        <v>12.648</v>
      </c>
      <c r="X32" s="10">
        <v>4.3840000000000003</v>
      </c>
      <c r="Y32" s="10">
        <v>2.0230000000000001</v>
      </c>
      <c r="Z32" s="21">
        <v>2.024</v>
      </c>
      <c r="AA32" s="41">
        <v>20.396600599999999</v>
      </c>
      <c r="AB32" s="32">
        <v>29.132999999999999</v>
      </c>
      <c r="AC32" s="32">
        <v>1.95</v>
      </c>
      <c r="AD32" s="10">
        <v>14.52</v>
      </c>
      <c r="AE32" s="10">
        <v>1.68</v>
      </c>
      <c r="AF32" s="10">
        <v>5.23</v>
      </c>
      <c r="AG32" s="10">
        <v>1.1100000000000001</v>
      </c>
      <c r="AH32" s="10">
        <v>1.7569999999999999</v>
      </c>
      <c r="AI32" s="56">
        <v>0.42899999999999999</v>
      </c>
      <c r="AJ32" s="10">
        <v>2.895</v>
      </c>
      <c r="AK32" s="10">
        <v>0.70399999999999996</v>
      </c>
      <c r="AL32" s="10">
        <v>46.56</v>
      </c>
      <c r="AM32" s="56">
        <v>2.76</v>
      </c>
    </row>
    <row r="33" spans="1:39" s="46" customFormat="1" ht="15" x14ac:dyDescent="0.2">
      <c r="A33" s="9" t="s">
        <v>66</v>
      </c>
      <c r="B33" s="69" t="s">
        <v>177</v>
      </c>
      <c r="C33" s="10" t="s">
        <v>43</v>
      </c>
      <c r="D33" s="10" t="s">
        <v>24</v>
      </c>
      <c r="E33" s="10" t="s">
        <v>62</v>
      </c>
      <c r="F33" s="11" t="s">
        <v>8</v>
      </c>
      <c r="G33" s="10">
        <v>51.91</v>
      </c>
      <c r="H33" s="10">
        <v>0.22</v>
      </c>
      <c r="I33" s="10">
        <v>15.9</v>
      </c>
      <c r="J33" s="10">
        <v>2</v>
      </c>
      <c r="K33" s="12">
        <v>1250</v>
      </c>
      <c r="L33" s="12" t="s">
        <v>153</v>
      </c>
      <c r="M33" s="18">
        <v>1232</v>
      </c>
      <c r="N33" s="10">
        <v>13.39</v>
      </c>
      <c r="O33" s="14">
        <f>(N33*(100-N33)/M33)^0.5</f>
        <v>0.97021716507315903</v>
      </c>
      <c r="P33" s="10">
        <v>2.516</v>
      </c>
      <c r="Q33" s="14">
        <f t="shared" si="5"/>
        <v>0.44618671474572663</v>
      </c>
      <c r="R33" s="31">
        <v>0.56799999999999995</v>
      </c>
      <c r="S33" s="26">
        <f t="shared" si="4"/>
        <v>0.21410751031672376</v>
      </c>
      <c r="T33" s="31">
        <v>0.81200000000000006</v>
      </c>
      <c r="U33" s="26">
        <f t="shared" si="3"/>
        <v>0.2556832201981763</v>
      </c>
      <c r="V33" s="31">
        <v>8.77</v>
      </c>
      <c r="W33" s="31">
        <v>4.7077999999999998</v>
      </c>
      <c r="X33" s="10">
        <v>2.0289999999999999</v>
      </c>
      <c r="Y33" s="10">
        <v>0.32500000000000001</v>
      </c>
      <c r="Z33" s="21">
        <v>8.1199999999999994E-2</v>
      </c>
      <c r="AA33" s="41">
        <v>13.4228188</v>
      </c>
      <c r="AB33" s="32">
        <v>18.832000000000001</v>
      </c>
      <c r="AC33" s="32">
        <v>2.79</v>
      </c>
      <c r="AD33" s="10">
        <v>7.6760000000000002</v>
      </c>
      <c r="AE33" s="10">
        <v>2.46</v>
      </c>
      <c r="AF33" s="10">
        <v>1.831</v>
      </c>
      <c r="AG33" s="10">
        <v>1.2609999999999999</v>
      </c>
      <c r="AH33" s="10">
        <v>2.097</v>
      </c>
      <c r="AI33" s="56">
        <v>1.0349999999999999</v>
      </c>
      <c r="AJ33" s="10">
        <v>2.3149999999999999</v>
      </c>
      <c r="AK33" s="10">
        <v>0.58299999999999996</v>
      </c>
      <c r="AL33" s="10">
        <v>28.641999999999999</v>
      </c>
      <c r="AM33" s="56">
        <v>2.8330000000000002</v>
      </c>
    </row>
    <row r="34" spans="1:39" s="46" customFormat="1" ht="15" x14ac:dyDescent="0.2">
      <c r="A34" s="9" t="s">
        <v>67</v>
      </c>
      <c r="B34" s="69" t="s">
        <v>175</v>
      </c>
      <c r="C34" s="10" t="s">
        <v>43</v>
      </c>
      <c r="D34" s="29" t="s">
        <v>6</v>
      </c>
      <c r="E34" s="29" t="s">
        <v>44</v>
      </c>
      <c r="F34" s="11" t="s">
        <v>16</v>
      </c>
      <c r="G34" s="10">
        <v>52.415999999999997</v>
      </c>
      <c r="H34" s="10">
        <v>0.107</v>
      </c>
      <c r="I34" s="10">
        <v>20.399999999999999</v>
      </c>
      <c r="J34" s="10">
        <v>2.4</v>
      </c>
      <c r="K34" s="12">
        <v>1504</v>
      </c>
      <c r="L34" s="12" t="s">
        <v>68</v>
      </c>
      <c r="M34" s="18">
        <v>1756</v>
      </c>
      <c r="N34" s="10">
        <v>45.4</v>
      </c>
      <c r="O34" s="10">
        <v>1.1499999999999999</v>
      </c>
      <c r="P34" s="10">
        <v>7.7</v>
      </c>
      <c r="Q34" s="14">
        <f t="shared" si="5"/>
        <v>0.63618577965988665</v>
      </c>
      <c r="R34" s="17">
        <v>0.9</v>
      </c>
      <c r="S34" s="26">
        <f t="shared" si="4"/>
        <v>0.225369855468708</v>
      </c>
      <c r="T34" s="17">
        <v>3.2</v>
      </c>
      <c r="U34" s="26">
        <f t="shared" si="3"/>
        <v>0.42000108471494596</v>
      </c>
      <c r="V34" s="17">
        <v>24.3</v>
      </c>
      <c r="W34" s="17">
        <v>15.3</v>
      </c>
      <c r="X34" s="10">
        <v>12.8</v>
      </c>
      <c r="Y34" s="10">
        <v>1.1000000000000001</v>
      </c>
      <c r="Z34" s="21">
        <v>0.2</v>
      </c>
      <c r="AA34" s="41">
        <v>12.4119718</v>
      </c>
      <c r="AB34" s="15">
        <v>23.116399699999999</v>
      </c>
      <c r="AC34" s="15">
        <v>2.36</v>
      </c>
      <c r="AD34" s="15">
        <v>12.10934526</v>
      </c>
      <c r="AE34" s="15">
        <v>2.1570248919999999</v>
      </c>
      <c r="AF34" s="15">
        <v>2.1570248919999999</v>
      </c>
      <c r="AG34" s="15">
        <v>1.2000080959999999</v>
      </c>
      <c r="AH34" s="15">
        <v>3.734177598</v>
      </c>
      <c r="AI34" s="62">
        <v>0.93361470999999996</v>
      </c>
      <c r="AJ34" s="15">
        <v>0.41962438699999999</v>
      </c>
      <c r="AK34" s="15">
        <v>2.2021583640000002</v>
      </c>
      <c r="AL34" s="15">
        <v>22.413783890000001</v>
      </c>
      <c r="AM34" s="62">
        <v>2.1659947800000001</v>
      </c>
    </row>
    <row r="35" spans="1:39" s="46" customFormat="1" ht="15" x14ac:dyDescent="0.2">
      <c r="A35" s="9" t="s">
        <v>69</v>
      </c>
      <c r="B35" s="69" t="s">
        <v>178</v>
      </c>
      <c r="C35" s="10" t="s">
        <v>43</v>
      </c>
      <c r="D35" s="29" t="s">
        <v>6</v>
      </c>
      <c r="E35" s="29" t="s">
        <v>44</v>
      </c>
      <c r="F35" s="11" t="s">
        <v>16</v>
      </c>
      <c r="G35" s="10">
        <v>52.75</v>
      </c>
      <c r="H35" s="10">
        <v>0.05</v>
      </c>
      <c r="I35" s="10">
        <v>22.2</v>
      </c>
      <c r="J35" s="10">
        <v>2</v>
      </c>
      <c r="K35" s="12">
        <v>1140</v>
      </c>
      <c r="L35" s="12" t="s">
        <v>70</v>
      </c>
      <c r="M35" s="18">
        <v>1821</v>
      </c>
      <c r="N35" s="10">
        <v>56</v>
      </c>
      <c r="O35" s="10">
        <v>1.1499999999999999</v>
      </c>
      <c r="P35" s="10">
        <v>14.17</v>
      </c>
      <c r="Q35" s="14">
        <f t="shared" si="5"/>
        <v>0.81723979933743274</v>
      </c>
      <c r="R35" s="17">
        <v>2.58</v>
      </c>
      <c r="S35" s="26">
        <f t="shared" si="4"/>
        <v>0.37151721519488362</v>
      </c>
      <c r="T35" s="17">
        <v>2.2000000000000002</v>
      </c>
      <c r="U35" s="26">
        <f t="shared" si="3"/>
        <v>0.34373661423690532</v>
      </c>
      <c r="V35" s="17">
        <v>35.04</v>
      </c>
      <c r="W35" s="17">
        <v>16.91</v>
      </c>
      <c r="X35" s="10">
        <v>11.86</v>
      </c>
      <c r="Y35" s="10">
        <v>3.46</v>
      </c>
      <c r="Z35" s="21">
        <v>5.71</v>
      </c>
      <c r="AA35" s="41">
        <v>17.151515199999999</v>
      </c>
      <c r="AB35" s="17">
        <v>28.8</v>
      </c>
      <c r="AC35" s="10">
        <v>2.62</v>
      </c>
      <c r="AD35" s="26">
        <v>16.344000000000001</v>
      </c>
      <c r="AE35" s="10">
        <v>2.29</v>
      </c>
      <c r="AF35" s="26">
        <v>4.8739999999999997</v>
      </c>
      <c r="AG35" s="10">
        <v>1.61</v>
      </c>
      <c r="AH35" s="10">
        <v>3.58</v>
      </c>
      <c r="AI35" s="56">
        <v>1.02</v>
      </c>
      <c r="AJ35" s="26">
        <v>1.8116538</v>
      </c>
      <c r="AK35" s="14">
        <v>0.4</v>
      </c>
      <c r="AL35" s="26">
        <v>15.613100680000001</v>
      </c>
      <c r="AM35" s="63">
        <v>1.6863816899999999</v>
      </c>
    </row>
    <row r="36" spans="1:39" s="46" customFormat="1" ht="15" x14ac:dyDescent="0.2">
      <c r="A36" s="9" t="s">
        <v>71</v>
      </c>
      <c r="B36" s="69" t="s">
        <v>179</v>
      </c>
      <c r="C36" s="10" t="s">
        <v>43</v>
      </c>
      <c r="D36" s="29" t="s">
        <v>6</v>
      </c>
      <c r="E36" s="29" t="s">
        <v>44</v>
      </c>
      <c r="F36" s="11" t="s">
        <v>16</v>
      </c>
      <c r="G36" s="10">
        <v>53.4</v>
      </c>
      <c r="H36" s="10">
        <v>0.05</v>
      </c>
      <c r="I36" s="10">
        <v>15.8</v>
      </c>
      <c r="J36" s="10">
        <v>2.2000000000000002</v>
      </c>
      <c r="K36" s="12">
        <v>1100</v>
      </c>
      <c r="L36" s="12" t="s">
        <v>72</v>
      </c>
      <c r="M36" s="18">
        <v>693</v>
      </c>
      <c r="N36" s="10">
        <v>52.2</v>
      </c>
      <c r="O36" s="10">
        <v>1.9</v>
      </c>
      <c r="P36" s="10">
        <v>6.93</v>
      </c>
      <c r="Q36" s="14">
        <f t="shared" si="5"/>
        <v>0.96472794092427938</v>
      </c>
      <c r="R36" s="17">
        <v>0.14000000000000001</v>
      </c>
      <c r="S36" s="26">
        <f t="shared" si="4"/>
        <v>0.14203428238892671</v>
      </c>
      <c r="T36" s="17">
        <v>1.59</v>
      </c>
      <c r="U36" s="26">
        <f t="shared" si="3"/>
        <v>0.47517278698298526</v>
      </c>
      <c r="V36" s="17">
        <v>29.15</v>
      </c>
      <c r="W36" s="17">
        <v>18.04</v>
      </c>
      <c r="X36" s="10">
        <v>13.85</v>
      </c>
      <c r="Y36" s="10">
        <v>1.1499999999999999</v>
      </c>
      <c r="Z36" s="21">
        <v>1.1499999999999999</v>
      </c>
      <c r="AA36" s="41">
        <v>8.9887640500000003</v>
      </c>
      <c r="AB36" s="26">
        <v>22.694400000000002</v>
      </c>
      <c r="AC36" s="10">
        <v>1.86</v>
      </c>
      <c r="AD36" s="26">
        <v>11.51</v>
      </c>
      <c r="AE36" s="10">
        <v>1.63</v>
      </c>
      <c r="AF36" s="26">
        <v>0.44040000000000001</v>
      </c>
      <c r="AG36" s="10">
        <v>0.5</v>
      </c>
      <c r="AH36" s="10">
        <v>3.37</v>
      </c>
      <c r="AI36" s="56">
        <v>1</v>
      </c>
      <c r="AJ36" s="26">
        <v>1.1597850999999999</v>
      </c>
      <c r="AK36" s="14">
        <v>0.3</v>
      </c>
      <c r="AL36" s="26">
        <v>10.55534609</v>
      </c>
      <c r="AM36" s="63">
        <v>1.2924826149999999</v>
      </c>
    </row>
    <row r="37" spans="1:39" s="46" customFormat="1" ht="30" x14ac:dyDescent="0.2">
      <c r="A37" s="9" t="s">
        <v>73</v>
      </c>
      <c r="B37" s="69" t="s">
        <v>180</v>
      </c>
      <c r="C37" s="10" t="s">
        <v>43</v>
      </c>
      <c r="D37" s="29" t="s">
        <v>6</v>
      </c>
      <c r="E37" s="29" t="s">
        <v>44</v>
      </c>
      <c r="F37" s="11" t="s">
        <v>16</v>
      </c>
      <c r="G37" s="10">
        <v>53.5</v>
      </c>
      <c r="H37" s="10">
        <v>0.1</v>
      </c>
      <c r="I37" s="10">
        <v>21.3</v>
      </c>
      <c r="J37" s="10">
        <v>2.2000000000000002</v>
      </c>
      <c r="K37" s="12">
        <v>1400</v>
      </c>
      <c r="L37" s="12" t="s">
        <v>74</v>
      </c>
      <c r="M37" s="18">
        <v>792</v>
      </c>
      <c r="N37" s="10">
        <v>34.799999999999997</v>
      </c>
      <c r="O37" s="14">
        <f>(N37*(100-N37)/M37)^0.5</f>
        <v>1.6925863301020969</v>
      </c>
      <c r="P37" s="10">
        <v>5.3030299999999997</v>
      </c>
      <c r="Q37" s="14">
        <f t="shared" si="5"/>
        <v>0.79628308949140358</v>
      </c>
      <c r="R37" s="17">
        <v>0.88380000000000003</v>
      </c>
      <c r="S37" s="26">
        <f t="shared" si="4"/>
        <v>0.33257280200937006</v>
      </c>
      <c r="T37" s="17">
        <v>2.0202</v>
      </c>
      <c r="U37" s="26">
        <f t="shared" si="3"/>
        <v>0.49992271114764542</v>
      </c>
      <c r="V37" s="17">
        <v>22.474699999999999</v>
      </c>
      <c r="W37" s="17">
        <v>12.1212</v>
      </c>
      <c r="X37" s="10">
        <v>1.1359999999999999</v>
      </c>
      <c r="Y37" s="10">
        <v>0.63129999999999997</v>
      </c>
      <c r="Z37" s="21">
        <v>0.1262626</v>
      </c>
      <c r="AA37" s="41">
        <v>12.5373134</v>
      </c>
      <c r="AB37" s="39">
        <v>15.77926721</v>
      </c>
      <c r="AC37" s="39">
        <v>1.6778122129999999</v>
      </c>
      <c r="AD37" s="39">
        <v>6.6451375920000002</v>
      </c>
      <c r="AE37" s="39">
        <v>1.357493214</v>
      </c>
      <c r="AF37" s="39">
        <v>1.8464773299999999</v>
      </c>
      <c r="AG37" s="39">
        <v>0.77208954600000002</v>
      </c>
      <c r="AH37" s="39">
        <v>1.757357455</v>
      </c>
      <c r="AI37" s="65">
        <v>0.686579253</v>
      </c>
      <c r="AJ37" s="14">
        <v>1.917</v>
      </c>
      <c r="AK37" s="14">
        <v>0.62370000000000003</v>
      </c>
      <c r="AL37" s="27">
        <v>17.336219960000001</v>
      </c>
      <c r="AM37" s="60">
        <v>1.49293864</v>
      </c>
    </row>
    <row r="38" spans="1:39" s="46" customFormat="1" ht="15" x14ac:dyDescent="0.2">
      <c r="A38" s="9" t="s">
        <v>75</v>
      </c>
      <c r="B38" s="69" t="s">
        <v>179</v>
      </c>
      <c r="C38" s="10" t="s">
        <v>43</v>
      </c>
      <c r="D38" s="29" t="s">
        <v>6</v>
      </c>
      <c r="E38" s="29" t="s">
        <v>44</v>
      </c>
      <c r="F38" s="11" t="s">
        <v>16</v>
      </c>
      <c r="G38" s="10">
        <v>54.2</v>
      </c>
      <c r="H38" s="10">
        <v>0.05</v>
      </c>
      <c r="I38" s="10">
        <v>11.1</v>
      </c>
      <c r="J38" s="10">
        <v>2.8</v>
      </c>
      <c r="K38" s="12">
        <v>1302</v>
      </c>
      <c r="L38" s="12" t="s">
        <v>76</v>
      </c>
      <c r="M38" s="18">
        <v>491</v>
      </c>
      <c r="N38" s="10">
        <v>35.6</v>
      </c>
      <c r="O38" s="10">
        <v>2.2000000000000002</v>
      </c>
      <c r="P38" s="10">
        <v>9.4</v>
      </c>
      <c r="Q38" s="14">
        <f t="shared" si="5"/>
        <v>1.3170045627597267</v>
      </c>
      <c r="R38" s="17">
        <v>2.2000000000000002</v>
      </c>
      <c r="S38" s="26">
        <f t="shared" si="4"/>
        <v>0.66197261220350778</v>
      </c>
      <c r="T38" s="17">
        <v>1.22</v>
      </c>
      <c r="U38" s="26">
        <f t="shared" si="3"/>
        <v>0.49542016564682906</v>
      </c>
      <c r="V38" s="17">
        <v>19.55</v>
      </c>
      <c r="W38" s="17">
        <v>11</v>
      </c>
      <c r="X38" s="10">
        <v>4.8899999999999997</v>
      </c>
      <c r="Y38" s="10">
        <v>0.81</v>
      </c>
      <c r="Z38" s="21">
        <v>2.65</v>
      </c>
      <c r="AA38" s="41">
        <v>20.689655200000001</v>
      </c>
      <c r="AB38" s="26">
        <v>19.3918</v>
      </c>
      <c r="AC38" s="26">
        <v>1.050768092</v>
      </c>
      <c r="AD38" s="26">
        <v>9.7797999999999998</v>
      </c>
      <c r="AE38" s="26">
        <v>0.92492327100000005</v>
      </c>
      <c r="AF38" s="17">
        <v>1</v>
      </c>
      <c r="AG38" s="10">
        <v>0</v>
      </c>
      <c r="AH38" s="10">
        <v>1</v>
      </c>
      <c r="AI38" s="56">
        <v>0</v>
      </c>
      <c r="AJ38" s="26">
        <v>2.1673947999999998</v>
      </c>
      <c r="AK38" s="14">
        <v>0.52</v>
      </c>
      <c r="AL38" s="26">
        <v>16.517923140000001</v>
      </c>
      <c r="AM38" s="63">
        <v>0.98673551299999995</v>
      </c>
    </row>
    <row r="39" spans="1:39" s="46" customFormat="1" ht="30" x14ac:dyDescent="0.2">
      <c r="A39" s="9" t="s">
        <v>77</v>
      </c>
      <c r="B39" s="69" t="s">
        <v>181</v>
      </c>
      <c r="C39" s="10" t="s">
        <v>43</v>
      </c>
      <c r="D39" s="10" t="s">
        <v>14</v>
      </c>
      <c r="E39" s="10" t="s">
        <v>78</v>
      </c>
      <c r="F39" s="11" t="s">
        <v>16</v>
      </c>
      <c r="G39" s="10">
        <v>55</v>
      </c>
      <c r="H39" s="10">
        <v>1</v>
      </c>
      <c r="I39" s="10">
        <v>12.3</v>
      </c>
      <c r="J39" s="10">
        <v>1.17</v>
      </c>
      <c r="K39" s="12">
        <v>1546</v>
      </c>
      <c r="L39" s="12" t="s">
        <v>154</v>
      </c>
      <c r="M39" s="18">
        <v>1008</v>
      </c>
      <c r="N39" s="10">
        <v>6.25</v>
      </c>
      <c r="O39" s="14">
        <v>0.76</v>
      </c>
      <c r="P39" s="10">
        <v>0.89</v>
      </c>
      <c r="Q39" s="10">
        <v>0.3</v>
      </c>
      <c r="R39" s="31">
        <v>0</v>
      </c>
      <c r="S39" s="31" t="s">
        <v>18</v>
      </c>
      <c r="T39" s="31">
        <v>0</v>
      </c>
      <c r="U39" s="31" t="s">
        <v>18</v>
      </c>
      <c r="V39" s="31">
        <v>4.5629999999999997</v>
      </c>
      <c r="W39" s="31">
        <v>1.29</v>
      </c>
      <c r="X39" s="10">
        <v>0.59499999999999997</v>
      </c>
      <c r="Y39" s="10">
        <v>0</v>
      </c>
      <c r="Z39" s="21">
        <v>0</v>
      </c>
      <c r="AA39" s="41">
        <v>13.432835799999999</v>
      </c>
      <c r="AB39" s="10">
        <v>5.9478777779999996</v>
      </c>
      <c r="AC39" s="10">
        <v>0.96667868869999996</v>
      </c>
      <c r="AD39" s="10">
        <v>1.8131945309999999</v>
      </c>
      <c r="AE39" s="10">
        <v>0.75792896970000001</v>
      </c>
      <c r="AF39" s="10">
        <v>0</v>
      </c>
      <c r="AG39" s="10" t="s">
        <v>18</v>
      </c>
      <c r="AH39" s="10">
        <v>0</v>
      </c>
      <c r="AI39" s="56" t="s">
        <v>18</v>
      </c>
      <c r="AJ39" s="10" t="s">
        <v>18</v>
      </c>
      <c r="AK39" s="10" t="s">
        <v>18</v>
      </c>
      <c r="AL39" s="10">
        <v>13.75</v>
      </c>
      <c r="AM39" s="56">
        <v>2.15</v>
      </c>
    </row>
    <row r="40" spans="1:39" s="46" customFormat="1" ht="15" x14ac:dyDescent="0.2">
      <c r="A40" s="9" t="s">
        <v>79</v>
      </c>
      <c r="B40" s="69" t="s">
        <v>182</v>
      </c>
      <c r="C40" s="10" t="s">
        <v>43</v>
      </c>
      <c r="D40" s="29" t="s">
        <v>6</v>
      </c>
      <c r="E40" s="29" t="s">
        <v>44</v>
      </c>
      <c r="F40" s="11" t="s">
        <v>16</v>
      </c>
      <c r="G40" s="10">
        <v>55</v>
      </c>
      <c r="H40" s="10">
        <v>1</v>
      </c>
      <c r="I40" s="10">
        <v>19.100000000000001</v>
      </c>
      <c r="J40" s="10">
        <v>3.7</v>
      </c>
      <c r="K40" s="12">
        <v>1420</v>
      </c>
      <c r="L40" s="12" t="s">
        <v>155</v>
      </c>
      <c r="M40" s="18">
        <v>317</v>
      </c>
      <c r="N40" s="10">
        <v>20.3</v>
      </c>
      <c r="O40" s="14">
        <f>(N40*(100-N40)/M40)^0.5</f>
        <v>2.2591629057463556</v>
      </c>
      <c r="P40" s="10">
        <v>6</v>
      </c>
      <c r="Q40" s="14">
        <f t="shared" ref="Q40:Q48" si="6">(P40*(100-P40)/M40)^0.5</f>
        <v>1.3338589920698334</v>
      </c>
      <c r="R40" s="31">
        <v>1.3</v>
      </c>
      <c r="S40" s="14">
        <f t="shared" ref="S40:S51" si="7">(R40*(100-R40)/M40)^0.5</f>
        <v>0.63621019084895447</v>
      </c>
      <c r="T40" s="31">
        <v>3.2</v>
      </c>
      <c r="U40" s="26">
        <f>(T40*(100-T40)/M40)^0.5</f>
        <v>0.98851448309104561</v>
      </c>
      <c r="V40" s="31">
        <v>13.75</v>
      </c>
      <c r="W40" s="31">
        <v>2.5</v>
      </c>
      <c r="X40" s="10">
        <v>4.38</v>
      </c>
      <c r="Y40" s="10">
        <v>0</v>
      </c>
      <c r="Z40" s="21">
        <v>0</v>
      </c>
      <c r="AA40" s="41">
        <v>24.137930999999998</v>
      </c>
      <c r="AB40" s="10">
        <v>17.510000000000002</v>
      </c>
      <c r="AC40" s="10">
        <v>0.75</v>
      </c>
      <c r="AD40" s="10">
        <v>9.65</v>
      </c>
      <c r="AE40" s="10">
        <v>0.67</v>
      </c>
      <c r="AF40" s="10">
        <v>2.88</v>
      </c>
      <c r="AG40" s="10">
        <v>0.34</v>
      </c>
      <c r="AH40" s="10">
        <v>2</v>
      </c>
      <c r="AI40" s="56">
        <v>0.06</v>
      </c>
      <c r="AJ40" s="10">
        <v>1.75</v>
      </c>
      <c r="AK40" s="10">
        <v>0.62</v>
      </c>
      <c r="AL40" s="10">
        <v>16.87</v>
      </c>
      <c r="AM40" s="56">
        <v>0.35</v>
      </c>
    </row>
    <row r="41" spans="1:39" s="46" customFormat="1" ht="23" customHeight="1" x14ac:dyDescent="0.2">
      <c r="A41" s="9" t="s">
        <v>80</v>
      </c>
      <c r="B41" s="71" t="s">
        <v>183</v>
      </c>
      <c r="C41" s="10" t="s">
        <v>43</v>
      </c>
      <c r="D41" s="29" t="s">
        <v>6</v>
      </c>
      <c r="E41" s="29" t="s">
        <v>44</v>
      </c>
      <c r="F41" s="11" t="s">
        <v>16</v>
      </c>
      <c r="G41" s="10">
        <v>55.2</v>
      </c>
      <c r="H41" s="10">
        <v>0.05</v>
      </c>
      <c r="I41" s="10">
        <v>16.399999999999999</v>
      </c>
      <c r="J41" s="10">
        <v>2.7</v>
      </c>
      <c r="K41" s="35" t="s">
        <v>17</v>
      </c>
      <c r="L41" s="12" t="s">
        <v>18</v>
      </c>
      <c r="M41" s="18">
        <v>1008</v>
      </c>
      <c r="N41" s="10">
        <v>27.28</v>
      </c>
      <c r="O41" s="14">
        <f>(N41*(100-N41)/M41)^0.5</f>
        <v>1.4028745998331935</v>
      </c>
      <c r="P41" s="10">
        <v>6.64</v>
      </c>
      <c r="Q41" s="14">
        <f t="shared" si="6"/>
        <v>0.78421328488522568</v>
      </c>
      <c r="R41" s="17">
        <v>0.69</v>
      </c>
      <c r="S41" s="26">
        <f t="shared" si="7"/>
        <v>0.26072985928698217</v>
      </c>
      <c r="T41" s="17">
        <v>0</v>
      </c>
      <c r="U41" s="17">
        <v>0</v>
      </c>
      <c r="V41" s="17">
        <v>19.54</v>
      </c>
      <c r="W41" s="17">
        <v>11.61</v>
      </c>
      <c r="X41" s="10">
        <v>2.78</v>
      </c>
      <c r="Y41" s="10">
        <v>0.79</v>
      </c>
      <c r="Z41" s="21">
        <v>0</v>
      </c>
      <c r="AA41" s="41">
        <v>8.3521444700000007</v>
      </c>
      <c r="AB41" s="10">
        <v>19.13</v>
      </c>
      <c r="AC41" s="10">
        <v>1.68</v>
      </c>
      <c r="AD41" s="10">
        <v>8.14</v>
      </c>
      <c r="AE41" s="10">
        <v>1.47</v>
      </c>
      <c r="AF41" s="10">
        <v>1.65</v>
      </c>
      <c r="AG41" s="10">
        <v>0.9</v>
      </c>
      <c r="AH41" s="10">
        <v>0</v>
      </c>
      <c r="AI41" s="56">
        <v>0</v>
      </c>
      <c r="AJ41" s="26">
        <v>0.53198650000000003</v>
      </c>
      <c r="AK41" s="14">
        <v>0.21</v>
      </c>
      <c r="AL41" s="26">
        <v>4.1411280660000003</v>
      </c>
      <c r="AM41" s="63">
        <v>0.91993862900000001</v>
      </c>
    </row>
    <row r="42" spans="1:39" s="46" customFormat="1" ht="15" x14ac:dyDescent="0.2">
      <c r="A42" s="9" t="s">
        <v>81</v>
      </c>
      <c r="B42" s="71" t="s">
        <v>184</v>
      </c>
      <c r="C42" s="10" t="s">
        <v>43</v>
      </c>
      <c r="D42" s="29" t="s">
        <v>6</v>
      </c>
      <c r="E42" s="29" t="s">
        <v>44</v>
      </c>
      <c r="F42" s="11" t="s">
        <v>16</v>
      </c>
      <c r="G42" s="10">
        <v>56</v>
      </c>
      <c r="H42" s="10">
        <v>0.05</v>
      </c>
      <c r="I42" s="10">
        <v>20.100000000000001</v>
      </c>
      <c r="J42" s="10">
        <v>2.8</v>
      </c>
      <c r="K42" s="12">
        <v>1210</v>
      </c>
      <c r="L42" s="12" t="s">
        <v>82</v>
      </c>
      <c r="M42" s="18">
        <v>995</v>
      </c>
      <c r="N42" s="10">
        <v>56</v>
      </c>
      <c r="O42" s="10">
        <v>1.6</v>
      </c>
      <c r="P42" s="10">
        <v>21.41</v>
      </c>
      <c r="Q42" s="14">
        <f t="shared" si="6"/>
        <v>1.3004104106707639</v>
      </c>
      <c r="R42" s="17">
        <v>1.81</v>
      </c>
      <c r="S42" s="26">
        <f t="shared" si="7"/>
        <v>0.42263102693084798</v>
      </c>
      <c r="T42" s="17">
        <v>6.73</v>
      </c>
      <c r="U42" s="26">
        <f>(T42*(100-T42)/M42)^0.5</f>
        <v>0.79426784338482181</v>
      </c>
      <c r="V42" s="17">
        <v>40</v>
      </c>
      <c r="W42" s="17">
        <v>20.6</v>
      </c>
      <c r="X42" s="10">
        <v>3.12</v>
      </c>
      <c r="Y42" s="10">
        <v>7.04</v>
      </c>
      <c r="Z42" s="21">
        <v>7.94</v>
      </c>
      <c r="AA42" s="41">
        <v>22.9184549</v>
      </c>
      <c r="AB42" s="26">
        <v>29.81</v>
      </c>
      <c r="AC42" s="10">
        <v>1.83</v>
      </c>
      <c r="AD42" s="26">
        <v>15.834</v>
      </c>
      <c r="AE42" s="10">
        <v>1.57</v>
      </c>
      <c r="AF42" s="26">
        <v>3.6486000000000001</v>
      </c>
      <c r="AG42" s="10">
        <v>1.1000000000000001</v>
      </c>
      <c r="AH42" s="10">
        <v>5.35</v>
      </c>
      <c r="AI42" s="56">
        <v>0.63</v>
      </c>
      <c r="AJ42" s="26">
        <v>1.7947282</v>
      </c>
      <c r="AK42" s="14">
        <v>0.39</v>
      </c>
      <c r="AL42" s="26">
        <v>17.70109227</v>
      </c>
      <c r="AM42" s="63">
        <v>1.7188174030000001</v>
      </c>
    </row>
    <row r="43" spans="1:39" s="46" customFormat="1" ht="15" x14ac:dyDescent="0.2">
      <c r="A43" s="9" t="s">
        <v>83</v>
      </c>
      <c r="B43" s="71" t="s">
        <v>184</v>
      </c>
      <c r="C43" s="10" t="s">
        <v>84</v>
      </c>
      <c r="D43" s="10" t="s">
        <v>6</v>
      </c>
      <c r="E43" s="10" t="s">
        <v>44</v>
      </c>
      <c r="F43" s="11" t="s">
        <v>16</v>
      </c>
      <c r="G43" s="10">
        <v>56.1</v>
      </c>
      <c r="H43" s="10">
        <v>0.05</v>
      </c>
      <c r="I43" s="10">
        <v>16.399999999999999</v>
      </c>
      <c r="J43" s="10">
        <v>2.9</v>
      </c>
      <c r="K43" s="12">
        <v>1730</v>
      </c>
      <c r="L43" s="12" t="s">
        <v>85</v>
      </c>
      <c r="M43" s="18">
        <v>843</v>
      </c>
      <c r="N43" s="10">
        <v>38</v>
      </c>
      <c r="O43" s="10">
        <v>1.7</v>
      </c>
      <c r="P43" s="10">
        <v>12.57</v>
      </c>
      <c r="Q43" s="14">
        <f t="shared" si="6"/>
        <v>1.1417843624122335</v>
      </c>
      <c r="R43" s="17">
        <v>1.07</v>
      </c>
      <c r="S43" s="26">
        <f t="shared" si="7"/>
        <v>0.35435788920490485</v>
      </c>
      <c r="T43" s="17">
        <v>5.34</v>
      </c>
      <c r="U43" s="26">
        <f>(T43*(100-T43)/M43)^0.5</f>
        <v>0.77435497207404869</v>
      </c>
      <c r="V43" s="17">
        <v>27.76</v>
      </c>
      <c r="W43" s="17">
        <v>10.91</v>
      </c>
      <c r="X43" s="17">
        <v>5.69</v>
      </c>
      <c r="Y43" s="31">
        <v>0.47</v>
      </c>
      <c r="Z43" s="53">
        <v>1.54</v>
      </c>
      <c r="AA43" s="41">
        <v>21.232876699999998</v>
      </c>
      <c r="AB43" s="42">
        <v>26.016200000000001</v>
      </c>
      <c r="AC43" s="10">
        <v>1.94</v>
      </c>
      <c r="AD43" s="42">
        <v>12.7</v>
      </c>
      <c r="AE43" s="10">
        <v>1.81</v>
      </c>
      <c r="AF43" s="42">
        <v>2.3763999999999998</v>
      </c>
      <c r="AG43" s="10">
        <v>0.92</v>
      </c>
      <c r="AH43" s="10">
        <v>3.31</v>
      </c>
      <c r="AI43" s="56">
        <v>0.52</v>
      </c>
      <c r="AJ43" s="26">
        <v>1.9848754</v>
      </c>
      <c r="AK43" s="14">
        <v>0.5</v>
      </c>
      <c r="AL43" s="26">
        <v>13.72608174</v>
      </c>
      <c r="AM43" s="63">
        <v>1.0716895930000001</v>
      </c>
    </row>
    <row r="44" spans="1:39" s="46" customFormat="1" ht="15" x14ac:dyDescent="0.2">
      <c r="A44" s="9" t="s">
        <v>86</v>
      </c>
      <c r="B44" s="71" t="s">
        <v>179</v>
      </c>
      <c r="C44" s="10" t="s">
        <v>84</v>
      </c>
      <c r="D44" s="10" t="s">
        <v>6</v>
      </c>
      <c r="E44" s="10" t="s">
        <v>44</v>
      </c>
      <c r="F44" s="11" t="s">
        <v>16</v>
      </c>
      <c r="G44" s="10">
        <v>56.5</v>
      </c>
      <c r="H44" s="10">
        <v>0.05</v>
      </c>
      <c r="I44" s="10">
        <v>12</v>
      </c>
      <c r="J44" s="10">
        <v>3</v>
      </c>
      <c r="K44" s="12">
        <v>1090</v>
      </c>
      <c r="L44" s="12" t="s">
        <v>156</v>
      </c>
      <c r="M44" s="18">
        <v>1016</v>
      </c>
      <c r="N44" s="10">
        <v>41</v>
      </c>
      <c r="O44" s="10">
        <v>1.54</v>
      </c>
      <c r="P44" s="10">
        <v>7.09</v>
      </c>
      <c r="Q44" s="14">
        <f t="shared" si="6"/>
        <v>0.80520691085666829</v>
      </c>
      <c r="R44" s="17">
        <v>0.89</v>
      </c>
      <c r="S44" s="26">
        <f t="shared" si="7"/>
        <v>0.2946502998685025</v>
      </c>
      <c r="T44" s="17">
        <v>2.17</v>
      </c>
      <c r="U44" s="26">
        <f>(T44*(100-T44)/M44)^0.5</f>
        <v>0.45710822905616799</v>
      </c>
      <c r="V44" s="17">
        <v>24.21</v>
      </c>
      <c r="W44" s="17">
        <v>12.2</v>
      </c>
      <c r="X44" s="17">
        <v>7.97</v>
      </c>
      <c r="Y44" s="31">
        <v>1.18</v>
      </c>
      <c r="Z44" s="53">
        <v>0.89</v>
      </c>
      <c r="AA44" s="41">
        <v>14.013840800000001</v>
      </c>
      <c r="AB44" s="42">
        <v>21.38</v>
      </c>
      <c r="AC44" s="43">
        <v>1.65</v>
      </c>
      <c r="AD44" s="42">
        <v>10.3162</v>
      </c>
      <c r="AE44" s="10">
        <v>1.52</v>
      </c>
      <c r="AF44" s="42">
        <v>1.7786</v>
      </c>
      <c r="AG44" s="10">
        <v>0.76</v>
      </c>
      <c r="AH44" s="10">
        <v>2.42</v>
      </c>
      <c r="AI44" s="56">
        <v>0.61</v>
      </c>
      <c r="AJ44" s="26">
        <v>2.0243112999999999</v>
      </c>
      <c r="AK44" s="14">
        <v>0.48</v>
      </c>
      <c r="AL44" s="26">
        <v>12.60257183</v>
      </c>
      <c r="AM44" s="63">
        <v>1.5042226990000001</v>
      </c>
    </row>
    <row r="45" spans="1:39" s="46" customFormat="1" ht="30" x14ac:dyDescent="0.2">
      <c r="A45" s="9" t="s">
        <v>87</v>
      </c>
      <c r="B45" s="69" t="s">
        <v>180</v>
      </c>
      <c r="C45" s="10" t="s">
        <v>84</v>
      </c>
      <c r="D45" s="10" t="s">
        <v>6</v>
      </c>
      <c r="E45" s="10" t="s">
        <v>44</v>
      </c>
      <c r="F45" s="11" t="s">
        <v>16</v>
      </c>
      <c r="G45" s="10">
        <v>57</v>
      </c>
      <c r="H45" s="10">
        <v>0.25</v>
      </c>
      <c r="I45" s="10">
        <v>18.600000000000001</v>
      </c>
      <c r="J45" s="10">
        <v>3.3</v>
      </c>
      <c r="K45" s="12">
        <v>1370</v>
      </c>
      <c r="L45" s="12" t="s">
        <v>88</v>
      </c>
      <c r="M45" s="18">
        <v>749</v>
      </c>
      <c r="N45" s="10">
        <v>28.304400000000001</v>
      </c>
      <c r="O45" s="10">
        <v>3.8717000000000001</v>
      </c>
      <c r="P45" s="10">
        <v>3.8717999999999999</v>
      </c>
      <c r="Q45" s="14">
        <f t="shared" si="6"/>
        <v>0.70492182028242001</v>
      </c>
      <c r="R45" s="17">
        <v>1.2016020000000001</v>
      </c>
      <c r="S45" s="14">
        <f t="shared" si="7"/>
        <v>0.39812033764821264</v>
      </c>
      <c r="T45" s="17">
        <v>0</v>
      </c>
      <c r="U45" s="26" t="s">
        <v>18</v>
      </c>
      <c r="V45" s="17">
        <v>18.691590000000001</v>
      </c>
      <c r="W45" s="17">
        <v>5.8744990000000001</v>
      </c>
      <c r="X45" s="10">
        <v>4.0053400000000003</v>
      </c>
      <c r="Y45" s="10">
        <v>0.93457939999999995</v>
      </c>
      <c r="Z45" s="21">
        <v>0.26701999999999998</v>
      </c>
      <c r="AA45" s="41">
        <v>12.9166667</v>
      </c>
      <c r="AB45" s="10">
        <v>18.207000000000001</v>
      </c>
      <c r="AC45" s="10">
        <v>2.1457999999999999</v>
      </c>
      <c r="AD45" s="10">
        <v>8.0733800000000002</v>
      </c>
      <c r="AE45" s="10">
        <v>1.8666</v>
      </c>
      <c r="AF45" s="10">
        <v>2.7168199999999998</v>
      </c>
      <c r="AG45" s="10">
        <v>1.0274000000000001</v>
      </c>
      <c r="AH45" s="10">
        <v>0</v>
      </c>
      <c r="AI45" s="56" t="s">
        <v>18</v>
      </c>
      <c r="AJ45" s="10">
        <v>1.046</v>
      </c>
      <c r="AK45" s="10">
        <v>0.45440000000000003</v>
      </c>
      <c r="AL45" s="10">
        <v>7.8425500000000001</v>
      </c>
      <c r="AM45" s="56">
        <v>0.97389999999999999</v>
      </c>
    </row>
    <row r="46" spans="1:39" s="46" customFormat="1" ht="15" x14ac:dyDescent="0.2">
      <c r="A46" s="9" t="s">
        <v>89</v>
      </c>
      <c r="B46" s="69" t="s">
        <v>182</v>
      </c>
      <c r="C46" s="10" t="s">
        <v>84</v>
      </c>
      <c r="D46" s="10" t="s">
        <v>6</v>
      </c>
      <c r="E46" s="10" t="s">
        <v>44</v>
      </c>
      <c r="F46" s="11" t="s">
        <v>8</v>
      </c>
      <c r="G46" s="10">
        <v>57</v>
      </c>
      <c r="H46" s="10">
        <v>1</v>
      </c>
      <c r="I46" s="10">
        <v>22.3</v>
      </c>
      <c r="J46" s="10">
        <v>3.4</v>
      </c>
      <c r="K46" s="12">
        <v>990</v>
      </c>
      <c r="L46" s="12" t="s">
        <v>157</v>
      </c>
      <c r="M46" s="18">
        <v>298</v>
      </c>
      <c r="N46" s="10">
        <v>25.5</v>
      </c>
      <c r="O46" s="14">
        <f>(N46*(100-N46)/M46)^0.5</f>
        <v>2.5248762345905194</v>
      </c>
      <c r="P46" s="10">
        <v>8.6999999999999993</v>
      </c>
      <c r="Q46" s="14">
        <f t="shared" si="6"/>
        <v>1.6326266562376464</v>
      </c>
      <c r="R46" s="31">
        <v>3.4</v>
      </c>
      <c r="S46" s="14">
        <f t="shared" si="7"/>
        <v>1.0498322013572985</v>
      </c>
      <c r="T46" s="31">
        <v>2.7</v>
      </c>
      <c r="U46" s="26">
        <f>(T46*(100-T46)/M46)^0.5</f>
        <v>0.9389234160505604</v>
      </c>
      <c r="V46" s="31">
        <v>18.8</v>
      </c>
      <c r="W46" s="31">
        <v>1.34</v>
      </c>
      <c r="X46" s="10">
        <v>3.02</v>
      </c>
      <c r="Y46" s="10">
        <v>1.01</v>
      </c>
      <c r="Z46" s="21">
        <v>0</v>
      </c>
      <c r="AA46" s="41">
        <v>27.619047599999998</v>
      </c>
      <c r="AB46" s="10">
        <v>22</v>
      </c>
      <c r="AC46" s="10">
        <v>0</v>
      </c>
      <c r="AD46" s="10">
        <v>13</v>
      </c>
      <c r="AE46" s="10">
        <v>0</v>
      </c>
      <c r="AF46" s="10">
        <v>5</v>
      </c>
      <c r="AG46" s="10">
        <v>0</v>
      </c>
      <c r="AH46" s="10">
        <v>3</v>
      </c>
      <c r="AI46" s="56">
        <v>0</v>
      </c>
      <c r="AJ46" s="10">
        <v>1.31</v>
      </c>
      <c r="AK46" s="10">
        <v>0.51</v>
      </c>
      <c r="AL46" s="10">
        <v>13</v>
      </c>
      <c r="AM46" s="56">
        <v>0</v>
      </c>
    </row>
    <row r="47" spans="1:39" s="46" customFormat="1" ht="30" x14ac:dyDescent="0.2">
      <c r="A47" s="9" t="s">
        <v>90</v>
      </c>
      <c r="B47" s="71" t="s">
        <v>185</v>
      </c>
      <c r="C47" s="10" t="s">
        <v>84</v>
      </c>
      <c r="D47" s="10" t="s">
        <v>30</v>
      </c>
      <c r="E47" s="10" t="s">
        <v>91</v>
      </c>
      <c r="F47" s="11" t="s">
        <v>21</v>
      </c>
      <c r="G47" s="10">
        <v>58</v>
      </c>
      <c r="H47" s="10">
        <v>0.05</v>
      </c>
      <c r="I47" s="10">
        <v>28</v>
      </c>
      <c r="J47" s="10">
        <v>3</v>
      </c>
      <c r="K47" s="12">
        <v>3240</v>
      </c>
      <c r="L47" s="12" t="s">
        <v>92</v>
      </c>
      <c r="M47" s="18">
        <v>507</v>
      </c>
      <c r="N47" s="10">
        <v>50.1</v>
      </c>
      <c r="O47" s="14">
        <f>(N47*(100-N47)/M47)^0.5</f>
        <v>2.2205735172612795</v>
      </c>
      <c r="P47" s="10">
        <v>10.45</v>
      </c>
      <c r="Q47" s="14">
        <f t="shared" si="6"/>
        <v>1.3585854547542537</v>
      </c>
      <c r="R47" s="17">
        <v>0.39447700000000002</v>
      </c>
      <c r="S47" s="26">
        <f t="shared" si="7"/>
        <v>0.27838675825643472</v>
      </c>
      <c r="T47" s="17">
        <v>1.5779000000000001</v>
      </c>
      <c r="U47" s="26">
        <f>(T47*(100-T47)/M47)^0.5</f>
        <v>0.55345468998453495</v>
      </c>
      <c r="V47" s="17">
        <v>36.291899999999998</v>
      </c>
      <c r="W47" s="17">
        <v>24.260400000000001</v>
      </c>
      <c r="X47" s="10">
        <v>4.3390000000000004</v>
      </c>
      <c r="Y47" s="10">
        <v>3.1558000000000002</v>
      </c>
      <c r="Z47" s="21">
        <v>0.19700000000000001</v>
      </c>
      <c r="AA47" s="41">
        <v>10.382513700000001</v>
      </c>
      <c r="AB47" s="15">
        <v>23.699363380000001</v>
      </c>
      <c r="AC47" s="15">
        <v>1.770633323</v>
      </c>
      <c r="AD47" s="15">
        <v>8.1490145869999999</v>
      </c>
      <c r="AE47" s="15">
        <v>1.5013834669999999</v>
      </c>
      <c r="AF47" s="15">
        <v>1.185767571</v>
      </c>
      <c r="AG47" s="15">
        <v>0.69411041799999995</v>
      </c>
      <c r="AH47" s="15">
        <v>2.5151269520000001</v>
      </c>
      <c r="AI47" s="62">
        <v>0.56211064099999997</v>
      </c>
      <c r="AJ47" s="10">
        <v>2.9769999999999999</v>
      </c>
      <c r="AK47" s="10">
        <v>0.8125</v>
      </c>
      <c r="AL47" s="32">
        <v>34.40623841</v>
      </c>
      <c r="AM47" s="57">
        <v>1.6710550850000001</v>
      </c>
    </row>
    <row r="48" spans="1:39" s="46" customFormat="1" ht="30" x14ac:dyDescent="0.2">
      <c r="A48" s="9" t="s">
        <v>93</v>
      </c>
      <c r="B48" s="69" t="s">
        <v>186</v>
      </c>
      <c r="C48" s="10" t="s">
        <v>84</v>
      </c>
      <c r="D48" s="10" t="s">
        <v>6</v>
      </c>
      <c r="E48" s="10" t="s">
        <v>44</v>
      </c>
      <c r="F48" s="11" t="s">
        <v>16</v>
      </c>
      <c r="G48" s="10">
        <v>58</v>
      </c>
      <c r="H48" s="10">
        <v>0.1</v>
      </c>
      <c r="I48" s="10">
        <v>10.5</v>
      </c>
      <c r="J48" s="10">
        <v>2.9</v>
      </c>
      <c r="K48" s="12">
        <v>1200</v>
      </c>
      <c r="L48" s="12" t="s">
        <v>158</v>
      </c>
      <c r="M48" s="18">
        <v>1366</v>
      </c>
      <c r="N48" s="10">
        <v>14.9</v>
      </c>
      <c r="O48" s="10">
        <v>1</v>
      </c>
      <c r="P48" s="10">
        <v>1.98</v>
      </c>
      <c r="Q48" s="14">
        <f t="shared" si="6"/>
        <v>0.37693337625072626</v>
      </c>
      <c r="R48" s="17">
        <v>0.15</v>
      </c>
      <c r="S48" s="26">
        <f t="shared" si="7"/>
        <v>0.10471148397166878</v>
      </c>
      <c r="T48" s="17">
        <v>0.28999999999999998</v>
      </c>
      <c r="U48" s="26">
        <f>(T48*(100-T48)/M48)^0.5</f>
        <v>0.14549330434951888</v>
      </c>
      <c r="V48" s="17">
        <v>11.64</v>
      </c>
      <c r="W48" s="17">
        <v>1.46</v>
      </c>
      <c r="X48" s="17">
        <v>1.76</v>
      </c>
      <c r="Y48" s="31">
        <v>0.15</v>
      </c>
      <c r="Z48" s="44">
        <v>0.37</v>
      </c>
      <c r="AA48" s="41">
        <v>10.8391608</v>
      </c>
      <c r="AB48" s="42">
        <v>15.442399999999999</v>
      </c>
      <c r="AC48" s="43">
        <v>2.38</v>
      </c>
      <c r="AD48" s="42">
        <v>5.3925999999999998</v>
      </c>
      <c r="AE48" s="10">
        <v>1.82</v>
      </c>
      <c r="AF48" s="42">
        <v>0.40200000000000002</v>
      </c>
      <c r="AG48" s="10">
        <v>0.49</v>
      </c>
      <c r="AH48" s="10">
        <v>1.31</v>
      </c>
      <c r="AI48" s="56">
        <v>1.23</v>
      </c>
      <c r="AJ48" s="26">
        <v>1.5168967</v>
      </c>
      <c r="AK48" s="14">
        <v>0.39</v>
      </c>
      <c r="AL48" s="26">
        <v>11.721413399999999</v>
      </c>
      <c r="AM48" s="63">
        <v>1.0380547120000001</v>
      </c>
    </row>
    <row r="49" spans="1:39" s="46" customFormat="1" ht="15" x14ac:dyDescent="0.2">
      <c r="A49" s="9" t="s">
        <v>94</v>
      </c>
      <c r="B49" s="69" t="s">
        <v>174</v>
      </c>
      <c r="C49" s="10" t="s">
        <v>84</v>
      </c>
      <c r="D49" s="10" t="s">
        <v>57</v>
      </c>
      <c r="E49" s="10" t="s">
        <v>58</v>
      </c>
      <c r="F49" s="11" t="s">
        <v>27</v>
      </c>
      <c r="G49" s="10">
        <v>59</v>
      </c>
      <c r="H49" s="10">
        <v>2</v>
      </c>
      <c r="I49" s="10">
        <v>6.9</v>
      </c>
      <c r="J49" s="10">
        <v>3.5</v>
      </c>
      <c r="K49" s="12">
        <v>570</v>
      </c>
      <c r="L49" s="12" t="s">
        <v>18</v>
      </c>
      <c r="M49" s="18">
        <f>1027-297</f>
        <v>730</v>
      </c>
      <c r="N49" s="10">
        <v>2.6</v>
      </c>
      <c r="O49" s="10" t="s">
        <v>18</v>
      </c>
      <c r="P49" s="10" t="s">
        <v>18</v>
      </c>
      <c r="Q49" s="10" t="s">
        <v>18</v>
      </c>
      <c r="R49" s="10">
        <f>1/730*100</f>
        <v>0.13698630136986301</v>
      </c>
      <c r="S49" s="14">
        <f t="shared" si="7"/>
        <v>0.13689244298174894</v>
      </c>
      <c r="T49" s="31">
        <f>2/730*100</f>
        <v>0.27397260273972601</v>
      </c>
      <c r="U49" s="26">
        <f>(T49*(100-T49)/M49)^0.5</f>
        <v>0.19346232257485083</v>
      </c>
      <c r="V49" s="10">
        <v>2.4700000000000002</v>
      </c>
      <c r="W49" s="10">
        <f>10/730*100</f>
        <v>1.3698630136986301</v>
      </c>
      <c r="X49" s="10">
        <v>0</v>
      </c>
      <c r="Y49" s="10">
        <v>0</v>
      </c>
      <c r="Z49" s="21">
        <v>0</v>
      </c>
      <c r="AA49" s="41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18</v>
      </c>
      <c r="AG49" s="10" t="s">
        <v>18</v>
      </c>
      <c r="AH49" s="10" t="s">
        <v>18</v>
      </c>
      <c r="AI49" s="56" t="s">
        <v>18</v>
      </c>
      <c r="AJ49" s="10" t="s">
        <v>18</v>
      </c>
      <c r="AK49" s="10" t="s">
        <v>18</v>
      </c>
      <c r="AL49" s="10" t="s">
        <v>18</v>
      </c>
      <c r="AM49" s="56" t="s">
        <v>18</v>
      </c>
    </row>
    <row r="50" spans="1:39" s="46" customFormat="1" ht="30" x14ac:dyDescent="0.2">
      <c r="A50" s="9" t="s">
        <v>95</v>
      </c>
      <c r="B50" s="69" t="s">
        <v>186</v>
      </c>
      <c r="C50" s="10" t="s">
        <v>84</v>
      </c>
      <c r="D50" s="10" t="s">
        <v>6</v>
      </c>
      <c r="E50" s="10" t="s">
        <v>44</v>
      </c>
      <c r="F50" s="11" t="s">
        <v>16</v>
      </c>
      <c r="G50" s="10">
        <v>59.39</v>
      </c>
      <c r="H50" s="10">
        <v>0.3</v>
      </c>
      <c r="I50" s="10">
        <v>10.5</v>
      </c>
      <c r="J50" s="10">
        <v>2.9</v>
      </c>
      <c r="K50" s="12">
        <v>1200</v>
      </c>
      <c r="L50" s="12" t="s">
        <v>158</v>
      </c>
      <c r="M50" s="18">
        <v>840</v>
      </c>
      <c r="N50" s="10">
        <v>34.9</v>
      </c>
      <c r="O50" s="10">
        <v>1.6</v>
      </c>
      <c r="P50" s="10">
        <v>5.36</v>
      </c>
      <c r="Q50" s="14">
        <f t="shared" ref="Q50:Q67" si="8">(P50*(100-P50)/M50)^0.5</f>
        <v>0.77710574141060973</v>
      </c>
      <c r="R50" s="17">
        <v>0.12</v>
      </c>
      <c r="S50" s="26">
        <f t="shared" si="7"/>
        <v>0.11945112568984617</v>
      </c>
      <c r="T50" s="17">
        <v>0</v>
      </c>
      <c r="U50" s="26">
        <v>0</v>
      </c>
      <c r="V50" s="17">
        <v>23.21</v>
      </c>
      <c r="W50" s="17">
        <v>2.02</v>
      </c>
      <c r="X50" s="17">
        <v>11.9</v>
      </c>
      <c r="Y50" s="31">
        <v>0.36</v>
      </c>
      <c r="Z50" s="44">
        <v>0</v>
      </c>
      <c r="AA50" s="41">
        <v>11.421319799999999</v>
      </c>
      <c r="AB50" s="42">
        <v>14.41</v>
      </c>
      <c r="AC50" s="10">
        <v>1.32</v>
      </c>
      <c r="AD50" s="42">
        <v>4.32</v>
      </c>
      <c r="AE50" s="10">
        <v>1.01</v>
      </c>
      <c r="AF50" s="42">
        <v>0.35499999999999998</v>
      </c>
      <c r="AG50" s="10">
        <v>0.48</v>
      </c>
      <c r="AH50" s="10">
        <v>0</v>
      </c>
      <c r="AI50" s="56">
        <v>0</v>
      </c>
      <c r="AJ50" s="26">
        <v>1.085831</v>
      </c>
      <c r="AK50" s="14">
        <v>0.39</v>
      </c>
      <c r="AL50" s="26">
        <v>6.3254740439999999</v>
      </c>
      <c r="AM50" s="63">
        <v>0.51008734200000005</v>
      </c>
    </row>
    <row r="51" spans="1:39" s="46" customFormat="1" ht="15" x14ac:dyDescent="0.2">
      <c r="A51" s="9" t="s">
        <v>96</v>
      </c>
      <c r="B51" s="69" t="s">
        <v>187</v>
      </c>
      <c r="C51" s="10" t="s">
        <v>84</v>
      </c>
      <c r="D51" s="10" t="s">
        <v>6</v>
      </c>
      <c r="E51" s="10" t="s">
        <v>44</v>
      </c>
      <c r="F51" s="11" t="s">
        <v>16</v>
      </c>
      <c r="G51" s="10">
        <v>59.4</v>
      </c>
      <c r="H51" s="10" t="s">
        <v>17</v>
      </c>
      <c r="I51" s="10">
        <v>11.9</v>
      </c>
      <c r="J51" s="10">
        <v>3.3</v>
      </c>
      <c r="K51" s="35" t="s">
        <v>17</v>
      </c>
      <c r="L51" s="12" t="s">
        <v>18</v>
      </c>
      <c r="M51" s="18">
        <v>749</v>
      </c>
      <c r="N51" s="10">
        <v>36.982599999999998</v>
      </c>
      <c r="O51" s="14">
        <f t="shared" ref="O51:O57" si="9">(N51*(100-N51)/M51)^0.5</f>
        <v>1.7639572339347878</v>
      </c>
      <c r="P51" s="10">
        <v>23.631499999999999</v>
      </c>
      <c r="Q51" s="14">
        <f t="shared" si="8"/>
        <v>1.5522507056973056</v>
      </c>
      <c r="R51" s="31">
        <v>0.400534</v>
      </c>
      <c r="S51" s="26">
        <f t="shared" si="7"/>
        <v>0.23078484687515394</v>
      </c>
      <c r="T51" s="31">
        <v>18.691600000000001</v>
      </c>
      <c r="U51" s="26">
        <f t="shared" ref="U51:U57" si="10">(T51*(100-T51)/M51)^0.5</f>
        <v>1.42445927690548</v>
      </c>
      <c r="V51" s="31">
        <v>13.88518</v>
      </c>
      <c r="W51" s="31">
        <v>3.471295</v>
      </c>
      <c r="X51" s="10">
        <v>1.7356480000000001</v>
      </c>
      <c r="Y51" s="10">
        <v>0.13335132999999999</v>
      </c>
      <c r="Z51" s="21">
        <v>4.138852</v>
      </c>
      <c r="AA51" s="41">
        <v>58.312020500000003</v>
      </c>
      <c r="AB51" s="10">
        <v>14.668799999999999</v>
      </c>
      <c r="AC51" s="10">
        <v>1.327</v>
      </c>
      <c r="AD51" s="10">
        <v>6.4</v>
      </c>
      <c r="AE51" s="10">
        <v>0.65080000000000005</v>
      </c>
      <c r="AF51" s="10">
        <v>0.78569999999999995</v>
      </c>
      <c r="AG51" s="10">
        <v>0.41</v>
      </c>
      <c r="AH51" s="10">
        <v>2.9998999999999998</v>
      </c>
      <c r="AI51" s="56">
        <v>0.01</v>
      </c>
      <c r="AJ51" s="10">
        <v>0.72568999999999995</v>
      </c>
      <c r="AK51" s="10">
        <v>0.52349999999999997</v>
      </c>
      <c r="AL51" s="10">
        <v>3.4011</v>
      </c>
      <c r="AM51" s="56">
        <v>0.49009999999999998</v>
      </c>
    </row>
    <row r="52" spans="1:39" s="46" customFormat="1" ht="15" x14ac:dyDescent="0.2">
      <c r="A52" s="9" t="s">
        <v>97</v>
      </c>
      <c r="B52" s="69" t="s">
        <v>187</v>
      </c>
      <c r="C52" s="10" t="s">
        <v>84</v>
      </c>
      <c r="D52" s="10" t="s">
        <v>6</v>
      </c>
      <c r="E52" s="10" t="s">
        <v>44</v>
      </c>
      <c r="F52" s="11" t="s">
        <v>16</v>
      </c>
      <c r="G52" s="10">
        <v>59.4</v>
      </c>
      <c r="H52" s="10" t="s">
        <v>17</v>
      </c>
      <c r="I52" s="10">
        <v>11.9</v>
      </c>
      <c r="J52" s="10">
        <v>3.3</v>
      </c>
      <c r="K52" s="35" t="s">
        <v>17</v>
      </c>
      <c r="L52" s="12" t="s">
        <v>18</v>
      </c>
      <c r="M52" s="18">
        <v>1319</v>
      </c>
      <c r="N52" s="10">
        <v>30.326000000000001</v>
      </c>
      <c r="O52" s="14">
        <f t="shared" si="9"/>
        <v>1.2656701557430916</v>
      </c>
      <c r="P52" s="10">
        <v>13.191800000000001</v>
      </c>
      <c r="Q52" s="14">
        <f t="shared" si="8"/>
        <v>0.93177275371415735</v>
      </c>
      <c r="R52" s="31">
        <v>0</v>
      </c>
      <c r="S52" s="26" t="s">
        <v>18</v>
      </c>
      <c r="T52" s="31">
        <v>1.0613999999999999</v>
      </c>
      <c r="U52" s="26">
        <f t="shared" si="10"/>
        <v>0.28216297405438862</v>
      </c>
      <c r="V52" s="31">
        <v>15.921150000000001</v>
      </c>
      <c r="W52" s="31">
        <v>5.3070500000000003</v>
      </c>
      <c r="X52" s="10">
        <v>0.15162999999999999</v>
      </c>
      <c r="Y52" s="10">
        <v>2.4260799999999998</v>
      </c>
      <c r="Z52" s="21">
        <v>9.7040000000000006</v>
      </c>
      <c r="AA52" s="41">
        <v>33.958724199999999</v>
      </c>
      <c r="AB52" s="10">
        <v>17.252600000000001</v>
      </c>
      <c r="AC52" s="10">
        <v>1.6930000000000001</v>
      </c>
      <c r="AD52" s="10">
        <v>6.2679</v>
      </c>
      <c r="AE52" s="10">
        <v>1.25</v>
      </c>
      <c r="AF52" s="10">
        <v>0</v>
      </c>
      <c r="AG52" s="10" t="s">
        <v>18</v>
      </c>
      <c r="AH52" s="10">
        <v>1.7969999999999999</v>
      </c>
      <c r="AI52" s="56">
        <v>0.71199999999999997</v>
      </c>
      <c r="AJ52" s="10">
        <v>0.86528000000000005</v>
      </c>
      <c r="AK52" s="10">
        <v>0.44469999999999998</v>
      </c>
      <c r="AL52" s="10">
        <v>4.2220000000000004</v>
      </c>
      <c r="AM52" s="56">
        <v>0.88</v>
      </c>
    </row>
    <row r="53" spans="1:39" s="46" customFormat="1" ht="15" x14ac:dyDescent="0.2">
      <c r="A53" s="9" t="s">
        <v>98</v>
      </c>
      <c r="B53" s="69" t="s">
        <v>187</v>
      </c>
      <c r="C53" s="10" t="s">
        <v>84</v>
      </c>
      <c r="D53" s="10" t="s">
        <v>6</v>
      </c>
      <c r="E53" s="10" t="s">
        <v>44</v>
      </c>
      <c r="F53" s="11" t="s">
        <v>16</v>
      </c>
      <c r="G53" s="10">
        <v>59.4</v>
      </c>
      <c r="H53" s="10" t="s">
        <v>17</v>
      </c>
      <c r="I53" s="10">
        <v>11.9</v>
      </c>
      <c r="J53" s="10">
        <v>3.3</v>
      </c>
      <c r="K53" s="35" t="s">
        <v>17</v>
      </c>
      <c r="L53" s="12" t="s">
        <v>18</v>
      </c>
      <c r="M53" s="18">
        <v>963</v>
      </c>
      <c r="N53" s="10">
        <v>33.5</v>
      </c>
      <c r="O53" s="14">
        <f t="shared" si="9"/>
        <v>1.5209680198969751</v>
      </c>
      <c r="P53" s="10">
        <v>6.0220000000000002</v>
      </c>
      <c r="Q53" s="14">
        <f t="shared" si="8"/>
        <v>0.76660267645723879</v>
      </c>
      <c r="R53" s="31">
        <v>0</v>
      </c>
      <c r="S53" s="26" t="s">
        <v>18</v>
      </c>
      <c r="T53" s="31">
        <v>1.869</v>
      </c>
      <c r="U53" s="26">
        <f t="shared" si="10"/>
        <v>0.4364099254748447</v>
      </c>
      <c r="V53" s="31">
        <v>29.802700000000002</v>
      </c>
      <c r="W53" s="31">
        <v>3.9460000000000002</v>
      </c>
      <c r="X53" s="10">
        <v>0.72689499999999996</v>
      </c>
      <c r="Y53" s="10">
        <v>0</v>
      </c>
      <c r="Z53" s="21">
        <v>1.35</v>
      </c>
      <c r="AA53" s="41">
        <v>13.6082474</v>
      </c>
      <c r="AB53" s="10">
        <v>15.6526</v>
      </c>
      <c r="AC53" s="10">
        <v>1.7306999999999999</v>
      </c>
      <c r="AD53" s="10">
        <v>7.4770000000000003</v>
      </c>
      <c r="AE53" s="10">
        <v>1.19</v>
      </c>
      <c r="AF53" s="10">
        <v>0</v>
      </c>
      <c r="AG53" s="10" t="s">
        <v>18</v>
      </c>
      <c r="AH53" s="10">
        <v>2.5971000000000002</v>
      </c>
      <c r="AI53" s="56">
        <v>0.56269999999999998</v>
      </c>
      <c r="AJ53" s="10">
        <v>1.0257000000000001</v>
      </c>
      <c r="AK53" s="10">
        <v>0.44540000000000002</v>
      </c>
      <c r="AL53" s="10">
        <v>8.4577000000000009</v>
      </c>
      <c r="AM53" s="56">
        <v>0.92259999999999998</v>
      </c>
    </row>
    <row r="54" spans="1:39" s="46" customFormat="1" ht="15" x14ac:dyDescent="0.2">
      <c r="A54" s="9" t="s">
        <v>99</v>
      </c>
      <c r="B54" s="69" t="s">
        <v>188</v>
      </c>
      <c r="C54" s="10" t="s">
        <v>84</v>
      </c>
      <c r="D54" s="10" t="s">
        <v>6</v>
      </c>
      <c r="E54" s="10" t="s">
        <v>44</v>
      </c>
      <c r="F54" s="11" t="s">
        <v>8</v>
      </c>
      <c r="G54" s="10">
        <v>60.5</v>
      </c>
      <c r="H54" s="10">
        <v>0.5</v>
      </c>
      <c r="I54" s="10">
        <v>15.6</v>
      </c>
      <c r="J54" s="10">
        <v>3.3</v>
      </c>
      <c r="K54" s="35" t="s">
        <v>17</v>
      </c>
      <c r="L54" s="12" t="s">
        <v>18</v>
      </c>
      <c r="M54" s="18">
        <v>802</v>
      </c>
      <c r="N54" s="10">
        <v>26.06</v>
      </c>
      <c r="O54" s="14">
        <f t="shared" si="9"/>
        <v>1.5500287182602204</v>
      </c>
      <c r="P54" s="10">
        <v>5.99</v>
      </c>
      <c r="Q54" s="14">
        <f t="shared" si="8"/>
        <v>0.83794063853933631</v>
      </c>
      <c r="R54" s="31">
        <v>2.37</v>
      </c>
      <c r="S54" s="14">
        <f t="shared" ref="S54:S59" si="11">(R54*(100-R54)/M54)^0.5</f>
        <v>0.53712904034788278</v>
      </c>
      <c r="T54" s="31">
        <v>0.872</v>
      </c>
      <c r="U54" s="26">
        <f t="shared" si="10"/>
        <v>0.32829875087401172</v>
      </c>
      <c r="V54" s="31">
        <v>11.6</v>
      </c>
      <c r="W54" s="31">
        <v>10.72</v>
      </c>
      <c r="X54" s="10">
        <v>3.74</v>
      </c>
      <c r="Y54" s="10">
        <v>1.5</v>
      </c>
      <c r="Z54" s="21">
        <v>0</v>
      </c>
      <c r="AA54" s="41">
        <v>18.867924500000001</v>
      </c>
      <c r="AB54" s="10">
        <v>22.69</v>
      </c>
      <c r="AC54" s="10">
        <v>2.27</v>
      </c>
      <c r="AD54" s="10">
        <v>10.08</v>
      </c>
      <c r="AE54" s="10">
        <v>1.72</v>
      </c>
      <c r="AF54" s="10">
        <v>3.77</v>
      </c>
      <c r="AG54" s="10">
        <v>1.1200000000000001</v>
      </c>
      <c r="AH54" s="10">
        <v>1.51</v>
      </c>
      <c r="AI54" s="56">
        <v>0.56999999999999995</v>
      </c>
      <c r="AJ54" s="10">
        <v>3.6669999999999998</v>
      </c>
      <c r="AK54" s="10">
        <v>0.78900000000000003</v>
      </c>
      <c r="AL54" s="10">
        <v>69.56</v>
      </c>
      <c r="AM54" s="56">
        <v>3.7</v>
      </c>
    </row>
    <row r="55" spans="1:39" s="46" customFormat="1" ht="15" x14ac:dyDescent="0.2">
      <c r="A55" s="9" t="s">
        <v>100</v>
      </c>
      <c r="B55" s="69" t="s">
        <v>169</v>
      </c>
      <c r="C55" s="10" t="s">
        <v>84</v>
      </c>
      <c r="D55" s="10" t="s">
        <v>14</v>
      </c>
      <c r="E55" s="10" t="s">
        <v>49</v>
      </c>
      <c r="F55" s="11" t="s">
        <v>21</v>
      </c>
      <c r="G55" s="10">
        <v>60.85</v>
      </c>
      <c r="H55" s="10">
        <v>3</v>
      </c>
      <c r="I55" s="10">
        <v>12.6</v>
      </c>
      <c r="J55" s="10">
        <v>1.8</v>
      </c>
      <c r="K55" s="12">
        <v>1826</v>
      </c>
      <c r="L55" s="12">
        <v>430</v>
      </c>
      <c r="M55" s="18">
        <v>498</v>
      </c>
      <c r="N55" s="10">
        <v>22.89</v>
      </c>
      <c r="O55" s="14">
        <f t="shared" si="9"/>
        <v>1.8826239379032301</v>
      </c>
      <c r="P55" s="10">
        <v>5.0199999999999996</v>
      </c>
      <c r="Q55" s="14">
        <f t="shared" si="8"/>
        <v>0.97848296646525768</v>
      </c>
      <c r="R55" s="17">
        <v>0.2</v>
      </c>
      <c r="S55" s="14">
        <f t="shared" si="11"/>
        <v>0.20020070250910851</v>
      </c>
      <c r="T55" s="17">
        <v>3.4140000000000001</v>
      </c>
      <c r="U55" s="26">
        <f t="shared" si="10"/>
        <v>0.81371847652375728</v>
      </c>
      <c r="V55" s="17">
        <v>10.241</v>
      </c>
      <c r="W55" s="17">
        <v>10.843</v>
      </c>
      <c r="X55" s="10">
        <v>1.004</v>
      </c>
      <c r="Y55" s="10">
        <v>0.40200000000000002</v>
      </c>
      <c r="Z55" s="21">
        <v>0</v>
      </c>
      <c r="AA55" s="41">
        <v>18.518518499999999</v>
      </c>
      <c r="AB55" s="39">
        <v>16.767504720000002</v>
      </c>
      <c r="AC55" s="39">
        <v>1.45772152</v>
      </c>
      <c r="AD55" s="39">
        <v>7.9521291959999996</v>
      </c>
      <c r="AE55" s="39">
        <v>1.1587299529999999</v>
      </c>
      <c r="AF55" s="39">
        <v>0.60362012600000003</v>
      </c>
      <c r="AG55" s="39">
        <v>0.489145039</v>
      </c>
      <c r="AH55" s="39">
        <v>4.3596082369999998</v>
      </c>
      <c r="AI55" s="65">
        <v>0.67243857799999995</v>
      </c>
      <c r="AJ55" s="10">
        <v>2.5390000000000001</v>
      </c>
      <c r="AK55" s="10">
        <v>0.77</v>
      </c>
      <c r="AL55" s="32">
        <v>25.055895410000002</v>
      </c>
      <c r="AM55" s="57">
        <v>1.1601821919999999</v>
      </c>
    </row>
    <row r="56" spans="1:39" s="46" customFormat="1" ht="15" x14ac:dyDescent="0.2">
      <c r="A56" s="9" t="s">
        <v>101</v>
      </c>
      <c r="B56" s="72" t="s">
        <v>189</v>
      </c>
      <c r="C56" s="10" t="s">
        <v>84</v>
      </c>
      <c r="D56" s="10" t="s">
        <v>24</v>
      </c>
      <c r="E56" s="10" t="s">
        <v>62</v>
      </c>
      <c r="F56" s="11" t="s">
        <v>16</v>
      </c>
      <c r="G56" s="10">
        <v>62.37</v>
      </c>
      <c r="H56" s="10">
        <f>(62.52-62.22)/2</f>
        <v>0.15000000000000213</v>
      </c>
      <c r="I56" s="35" t="s">
        <v>17</v>
      </c>
      <c r="J56" s="12" t="s">
        <v>18</v>
      </c>
      <c r="K56" s="35" t="s">
        <v>17</v>
      </c>
      <c r="L56" s="12" t="s">
        <v>18</v>
      </c>
      <c r="M56" s="18">
        <v>563</v>
      </c>
      <c r="N56" s="10">
        <v>59.7</v>
      </c>
      <c r="O56" s="14">
        <f t="shared" si="9"/>
        <v>2.0672142554595383</v>
      </c>
      <c r="P56" s="10">
        <v>15.6</v>
      </c>
      <c r="Q56" s="14">
        <f t="shared" si="8"/>
        <v>1.529252943378322</v>
      </c>
      <c r="R56" s="31">
        <v>1.2</v>
      </c>
      <c r="S56" s="14">
        <f t="shared" si="11"/>
        <v>0.45889666118671268</v>
      </c>
      <c r="T56" s="31">
        <v>4.5999999999999996</v>
      </c>
      <c r="U56" s="26">
        <f t="shared" si="10"/>
        <v>0.88287436270384234</v>
      </c>
      <c r="V56" s="31">
        <v>35.5</v>
      </c>
      <c r="W56" s="31">
        <v>22.4</v>
      </c>
      <c r="X56" s="10">
        <v>5.6</v>
      </c>
      <c r="Y56" s="10">
        <v>7.5</v>
      </c>
      <c r="Z56" s="21">
        <v>1.24</v>
      </c>
      <c r="AA56" s="41">
        <v>17.863720099999998</v>
      </c>
      <c r="AB56" s="10">
        <v>32.08</v>
      </c>
      <c r="AC56" s="10">
        <v>1.98</v>
      </c>
      <c r="AD56" s="10">
        <v>17.05</v>
      </c>
      <c r="AE56" s="10">
        <v>1.86</v>
      </c>
      <c r="AF56" s="10">
        <v>2.5499999999999998</v>
      </c>
      <c r="AG56" s="10">
        <v>0.89</v>
      </c>
      <c r="AH56" s="10">
        <v>4.28</v>
      </c>
      <c r="AI56" s="56">
        <v>1</v>
      </c>
      <c r="AJ56" s="10">
        <v>2.68</v>
      </c>
      <c r="AK56" s="10">
        <v>0.8</v>
      </c>
      <c r="AL56" s="10">
        <v>26.23</v>
      </c>
      <c r="AM56" s="56">
        <v>1.04</v>
      </c>
    </row>
    <row r="57" spans="1:39" s="46" customFormat="1" ht="15" x14ac:dyDescent="0.2">
      <c r="A57" s="9" t="s">
        <v>102</v>
      </c>
      <c r="B57" s="72" t="s">
        <v>189</v>
      </c>
      <c r="C57" s="10" t="s">
        <v>84</v>
      </c>
      <c r="D57" s="10" t="s">
        <v>24</v>
      </c>
      <c r="E57" s="10" t="s">
        <v>62</v>
      </c>
      <c r="F57" s="11" t="s">
        <v>27</v>
      </c>
      <c r="G57" s="10">
        <f>64.67-0.59</f>
        <v>64.08</v>
      </c>
      <c r="H57" s="10">
        <f>(64.67-63.49)/2</f>
        <v>0.58999999999999986</v>
      </c>
      <c r="I57" s="35" t="s">
        <v>17</v>
      </c>
      <c r="J57" s="12" t="s">
        <v>18</v>
      </c>
      <c r="K57" s="35" t="s">
        <v>17</v>
      </c>
      <c r="L57" s="12" t="s">
        <v>18</v>
      </c>
      <c r="M57" s="18">
        <v>1121</v>
      </c>
      <c r="N57" s="10">
        <v>64.400000000000006</v>
      </c>
      <c r="O57" s="14">
        <f t="shared" si="9"/>
        <v>1.4300957841447979</v>
      </c>
      <c r="P57" s="10">
        <v>24.1</v>
      </c>
      <c r="Q57" s="14">
        <f t="shared" si="8"/>
        <v>1.2773990914721385</v>
      </c>
      <c r="R57" s="31">
        <v>0.5</v>
      </c>
      <c r="S57" s="14">
        <f t="shared" si="11"/>
        <v>0.21066565415656441</v>
      </c>
      <c r="T57" s="31">
        <v>9.1</v>
      </c>
      <c r="U57" s="26">
        <f t="shared" si="10"/>
        <v>0.8590131881692542</v>
      </c>
      <c r="V57" s="31">
        <v>37.299999999999997</v>
      </c>
      <c r="W57" s="31">
        <v>31.85</v>
      </c>
      <c r="X57" s="10">
        <v>5.8</v>
      </c>
      <c r="Y57" s="10">
        <v>7.8</v>
      </c>
      <c r="Z57" s="21">
        <v>9.3000000000000007</v>
      </c>
      <c r="AA57" s="41">
        <v>20.498084299999999</v>
      </c>
      <c r="AB57" s="10">
        <v>29.89</v>
      </c>
      <c r="AC57" s="10">
        <v>1.9</v>
      </c>
      <c r="AD57" s="10">
        <v>15.17</v>
      </c>
      <c r="AE57" s="10">
        <v>1.75</v>
      </c>
      <c r="AF57" s="10">
        <v>1.41</v>
      </c>
      <c r="AG57" s="10">
        <v>0.91</v>
      </c>
      <c r="AH57" s="10">
        <v>6.02</v>
      </c>
      <c r="AI57" s="56">
        <v>0.78</v>
      </c>
      <c r="AJ57" s="10">
        <v>2.46</v>
      </c>
      <c r="AK57" s="10">
        <v>0.72</v>
      </c>
      <c r="AL57" s="10">
        <v>24.49</v>
      </c>
      <c r="AM57" s="56">
        <v>1.53</v>
      </c>
    </row>
    <row r="58" spans="1:39" s="46" customFormat="1" ht="15" x14ac:dyDescent="0.2">
      <c r="A58" s="9" t="s">
        <v>103</v>
      </c>
      <c r="B58" s="69" t="s">
        <v>187</v>
      </c>
      <c r="C58" s="10" t="s">
        <v>84</v>
      </c>
      <c r="D58" s="10" t="s">
        <v>6</v>
      </c>
      <c r="E58" s="10" t="s">
        <v>44</v>
      </c>
      <c r="F58" s="11" t="s">
        <v>16</v>
      </c>
      <c r="G58" s="10">
        <v>64.400000000000006</v>
      </c>
      <c r="H58" s="10">
        <v>0.2</v>
      </c>
      <c r="I58" s="10">
        <v>21.5</v>
      </c>
      <c r="J58" s="10">
        <v>1.5</v>
      </c>
      <c r="K58" s="12">
        <v>2040</v>
      </c>
      <c r="L58" s="12" t="s">
        <v>104</v>
      </c>
      <c r="M58" s="18">
        <v>2805</v>
      </c>
      <c r="N58" s="10">
        <v>6.7</v>
      </c>
      <c r="O58" s="14">
        <v>0.49996284200000002</v>
      </c>
      <c r="P58" s="31">
        <v>1.6</v>
      </c>
      <c r="Q58" s="14">
        <f t="shared" si="8"/>
        <v>0.23691420861989118</v>
      </c>
      <c r="R58" s="31">
        <v>7.0000000000000007E-2</v>
      </c>
      <c r="S58" s="14">
        <f t="shared" si="11"/>
        <v>4.9937929386828311E-2</v>
      </c>
      <c r="T58" s="31">
        <v>0</v>
      </c>
      <c r="U58" s="31">
        <v>0</v>
      </c>
      <c r="V58" s="31">
        <v>4.67</v>
      </c>
      <c r="W58" s="31">
        <v>1.21</v>
      </c>
      <c r="X58" s="10">
        <v>0.53</v>
      </c>
      <c r="Y58" s="10">
        <v>0.04</v>
      </c>
      <c r="Z58" s="21">
        <v>0.96</v>
      </c>
      <c r="AA58" s="41">
        <v>17.374517399999998</v>
      </c>
      <c r="AB58" s="10">
        <v>10.58</v>
      </c>
      <c r="AC58" s="10">
        <v>1.74</v>
      </c>
      <c r="AD58" s="10">
        <v>2.67</v>
      </c>
      <c r="AE58" s="10">
        <v>1.08</v>
      </c>
      <c r="AF58" s="10">
        <v>0.21</v>
      </c>
      <c r="AG58" s="10">
        <v>0.43</v>
      </c>
      <c r="AH58" s="10">
        <v>0</v>
      </c>
      <c r="AI58" s="56">
        <v>0</v>
      </c>
      <c r="AJ58" s="10">
        <v>4.13</v>
      </c>
      <c r="AK58" s="10">
        <v>0.82</v>
      </c>
      <c r="AL58" s="10">
        <v>84.46</v>
      </c>
      <c r="AM58" s="56">
        <v>4.42</v>
      </c>
    </row>
    <row r="59" spans="1:39" s="46" customFormat="1" ht="30" x14ac:dyDescent="0.2">
      <c r="A59" s="9" t="s">
        <v>105</v>
      </c>
      <c r="B59" s="71" t="s">
        <v>190</v>
      </c>
      <c r="C59" s="10" t="s">
        <v>84</v>
      </c>
      <c r="D59" s="10" t="s">
        <v>6</v>
      </c>
      <c r="E59" s="10" t="s">
        <v>44</v>
      </c>
      <c r="F59" s="11" t="s">
        <v>16</v>
      </c>
      <c r="G59" s="10">
        <v>65</v>
      </c>
      <c r="H59" s="10">
        <v>0.5</v>
      </c>
      <c r="I59" s="10" t="s">
        <v>18</v>
      </c>
      <c r="J59" s="10" t="s">
        <v>18</v>
      </c>
      <c r="K59" s="35" t="s">
        <v>17</v>
      </c>
      <c r="L59" s="12" t="s">
        <v>18</v>
      </c>
      <c r="M59" s="18">
        <v>2220</v>
      </c>
      <c r="N59" s="10">
        <v>34.54</v>
      </c>
      <c r="O59" s="14">
        <f t="shared" ref="O59:O67" si="12">(N59*(100-N59)/M59)^0.5</f>
        <v>1.0091893990937693</v>
      </c>
      <c r="P59" s="31">
        <v>10.946</v>
      </c>
      <c r="Q59" s="14">
        <f t="shared" si="8"/>
        <v>0.66264046071771088</v>
      </c>
      <c r="R59" s="31">
        <v>2.56</v>
      </c>
      <c r="S59" s="14">
        <f t="shared" si="11"/>
        <v>0.33520626969560585</v>
      </c>
      <c r="T59" s="31">
        <v>1.396396</v>
      </c>
      <c r="U59" s="26">
        <f>(T59*(100-T59)/M59)^0.5</f>
        <v>0.24904292315302878</v>
      </c>
      <c r="V59" s="31">
        <v>21.3964</v>
      </c>
      <c r="W59" s="31">
        <v>2.3873869999999999</v>
      </c>
      <c r="X59" s="10">
        <v>6.9368999999999996</v>
      </c>
      <c r="Y59" s="10">
        <v>3.33</v>
      </c>
      <c r="Z59" s="21">
        <v>5.5</v>
      </c>
      <c r="AA59" s="41">
        <v>22.361809099999999</v>
      </c>
      <c r="AB59" s="10">
        <v>21.045999999999999</v>
      </c>
      <c r="AC59" s="10">
        <v>1.853</v>
      </c>
      <c r="AD59" s="10">
        <v>9.9468999999999994</v>
      </c>
      <c r="AE59" s="10">
        <v>1.58</v>
      </c>
      <c r="AF59" s="10">
        <v>2.8260000000000001</v>
      </c>
      <c r="AG59" s="10">
        <v>0.83499999999999996</v>
      </c>
      <c r="AH59" s="10">
        <v>1.802</v>
      </c>
      <c r="AI59" s="56">
        <v>0.42399999999999999</v>
      </c>
      <c r="AJ59" s="10">
        <v>1.4570000000000001</v>
      </c>
      <c r="AK59" s="10">
        <v>0.51400000000000001</v>
      </c>
      <c r="AL59" s="10">
        <v>9.4979999999999993</v>
      </c>
      <c r="AM59" s="56">
        <v>1.2989999999999999</v>
      </c>
    </row>
    <row r="60" spans="1:39" s="46" customFormat="1" ht="15" x14ac:dyDescent="0.2">
      <c r="A60" s="9" t="s">
        <v>106</v>
      </c>
      <c r="B60" s="72" t="s">
        <v>189</v>
      </c>
      <c r="C60" s="10" t="s">
        <v>84</v>
      </c>
      <c r="D60" s="10" t="s">
        <v>24</v>
      </c>
      <c r="E60" s="10" t="s">
        <v>62</v>
      </c>
      <c r="F60" s="11" t="s">
        <v>27</v>
      </c>
      <c r="G60" s="10">
        <f>65.58-0.36</f>
        <v>65.22</v>
      </c>
      <c r="H60" s="10">
        <f>(65.58-64.86)/2</f>
        <v>0.35999999999999943</v>
      </c>
      <c r="I60" s="35" t="s">
        <v>17</v>
      </c>
      <c r="J60" s="12" t="s">
        <v>18</v>
      </c>
      <c r="K60" s="35" t="s">
        <v>17</v>
      </c>
      <c r="L60" s="12" t="s">
        <v>18</v>
      </c>
      <c r="M60" s="18">
        <v>1082</v>
      </c>
      <c r="N60" s="10">
        <v>51.3</v>
      </c>
      <c r="O60" s="14">
        <f t="shared" si="12"/>
        <v>1.519530888793085</v>
      </c>
      <c r="P60" s="10">
        <v>15.3</v>
      </c>
      <c r="Q60" s="14">
        <f t="shared" si="8"/>
        <v>1.0943942187803328</v>
      </c>
      <c r="R60" s="31">
        <v>0</v>
      </c>
      <c r="S60" s="31">
        <v>0</v>
      </c>
      <c r="T60" s="31">
        <v>5.91</v>
      </c>
      <c r="U60" s="26">
        <f>(T60*(100-T60)/M60)^0.5</f>
        <v>0.71688888070802836</v>
      </c>
      <c r="V60" s="31">
        <v>31.7</v>
      </c>
      <c r="W60" s="31">
        <v>23.01</v>
      </c>
      <c r="X60" s="10">
        <v>1.48</v>
      </c>
      <c r="Y60" s="10">
        <v>4.8099999999999996</v>
      </c>
      <c r="Z60" s="21">
        <v>2.59</v>
      </c>
      <c r="AA60" s="41">
        <v>18.383838399999998</v>
      </c>
      <c r="AB60" s="10">
        <v>23.57</v>
      </c>
      <c r="AC60" s="10">
        <v>1.82</v>
      </c>
      <c r="AD60" s="10">
        <v>11.39</v>
      </c>
      <c r="AE60" s="10">
        <v>1.7</v>
      </c>
      <c r="AF60" s="10">
        <v>0</v>
      </c>
      <c r="AG60" s="10">
        <v>0</v>
      </c>
      <c r="AH60" s="10">
        <v>4.9400000000000004</v>
      </c>
      <c r="AI60" s="56">
        <v>1.1399999999999999</v>
      </c>
      <c r="AJ60" s="10">
        <v>2.5099999999999998</v>
      </c>
      <c r="AK60" s="10">
        <v>0.77</v>
      </c>
      <c r="AL60" s="10">
        <v>21.74</v>
      </c>
      <c r="AM60" s="56">
        <v>1.37</v>
      </c>
    </row>
    <row r="61" spans="1:39" s="46" customFormat="1" ht="30" x14ac:dyDescent="0.2">
      <c r="A61" s="9" t="s">
        <v>107</v>
      </c>
      <c r="B61" s="69" t="s">
        <v>191</v>
      </c>
      <c r="C61" s="10" t="s">
        <v>84</v>
      </c>
      <c r="D61" s="10" t="s">
        <v>6</v>
      </c>
      <c r="E61" s="10" t="s">
        <v>44</v>
      </c>
      <c r="F61" s="11" t="s">
        <v>16</v>
      </c>
      <c r="G61" s="10">
        <v>66</v>
      </c>
      <c r="H61" s="10">
        <v>0.05</v>
      </c>
      <c r="I61" s="10">
        <v>13.7</v>
      </c>
      <c r="J61" s="10">
        <v>3.2</v>
      </c>
      <c r="K61" s="35" t="s">
        <v>17</v>
      </c>
      <c r="L61" s="12" t="s">
        <v>18</v>
      </c>
      <c r="M61" s="18">
        <v>655</v>
      </c>
      <c r="N61" s="10">
        <v>21.373999999999999</v>
      </c>
      <c r="O61" s="14">
        <f t="shared" si="12"/>
        <v>1.6017891351822144</v>
      </c>
      <c r="P61" s="10">
        <v>3.5110000000000001</v>
      </c>
      <c r="Q61" s="14">
        <f t="shared" si="8"/>
        <v>0.71917348553049176</v>
      </c>
      <c r="R61" s="31">
        <v>0.45800000000000002</v>
      </c>
      <c r="S61" s="14">
        <f t="shared" ref="S61:S67" si="13">(R61*(100-R61)/M61)^0.5</f>
        <v>0.263824588961033</v>
      </c>
      <c r="T61" s="31">
        <v>0</v>
      </c>
      <c r="U61" s="31">
        <v>0</v>
      </c>
      <c r="V61" s="31">
        <v>17.826000000000001</v>
      </c>
      <c r="W61" s="31">
        <v>3.206</v>
      </c>
      <c r="X61" s="10">
        <v>0.76300000000000001</v>
      </c>
      <c r="Y61" s="10">
        <v>0.61099999999999999</v>
      </c>
      <c r="Z61" s="21">
        <v>0.76300000000000001</v>
      </c>
      <c r="AA61" s="41">
        <v>11.794871799999999</v>
      </c>
      <c r="AB61" s="10">
        <v>14.07</v>
      </c>
      <c r="AC61" s="10">
        <v>1.268</v>
      </c>
      <c r="AD61" s="10">
        <v>4.5289999999999999</v>
      </c>
      <c r="AE61" s="10">
        <v>0.89</v>
      </c>
      <c r="AF61" s="10">
        <v>1.17</v>
      </c>
      <c r="AG61" s="10">
        <v>0.67</v>
      </c>
      <c r="AH61" s="10">
        <v>0</v>
      </c>
      <c r="AI61" s="56" t="s">
        <v>18</v>
      </c>
      <c r="AJ61" s="10">
        <v>1.8580000000000001</v>
      </c>
      <c r="AK61" s="10">
        <v>0.56399999999999995</v>
      </c>
      <c r="AL61" s="10">
        <v>20.239999999999998</v>
      </c>
      <c r="AM61" s="56">
        <v>1.91</v>
      </c>
    </row>
    <row r="62" spans="1:39" s="46" customFormat="1" ht="30" x14ac:dyDescent="0.2">
      <c r="A62" s="9" t="s">
        <v>108</v>
      </c>
      <c r="B62" s="69" t="s">
        <v>191</v>
      </c>
      <c r="C62" s="10" t="s">
        <v>109</v>
      </c>
      <c r="D62" s="10" t="s">
        <v>6</v>
      </c>
      <c r="E62" s="10" t="s">
        <v>44</v>
      </c>
      <c r="F62" s="11" t="s">
        <v>16</v>
      </c>
      <c r="G62" s="10">
        <v>66.099999999999994</v>
      </c>
      <c r="H62" s="10">
        <v>0.05</v>
      </c>
      <c r="I62" s="10">
        <v>17.7</v>
      </c>
      <c r="J62" s="10">
        <v>2.5</v>
      </c>
      <c r="K62" s="35" t="s">
        <v>17</v>
      </c>
      <c r="L62" s="12" t="s">
        <v>18</v>
      </c>
      <c r="M62" s="18">
        <v>461</v>
      </c>
      <c r="N62" s="10">
        <v>31.2</v>
      </c>
      <c r="O62" s="14">
        <f t="shared" si="12"/>
        <v>2.157849013352223</v>
      </c>
      <c r="P62" s="10">
        <v>14.1</v>
      </c>
      <c r="Q62" s="14">
        <f t="shared" si="8"/>
        <v>1.6208979595359376</v>
      </c>
      <c r="R62" s="31">
        <v>6.51</v>
      </c>
      <c r="S62" s="14">
        <f t="shared" si="13"/>
        <v>1.1490068332346663</v>
      </c>
      <c r="T62" s="31">
        <v>1.74</v>
      </c>
      <c r="U62" s="26">
        <f t="shared" ref="U62:U67" si="14">(T62*(100-T62)/M62)^0.5</f>
        <v>0.6089933374286931</v>
      </c>
      <c r="V62" s="31">
        <v>20.39</v>
      </c>
      <c r="W62" s="31">
        <v>6.51</v>
      </c>
      <c r="X62" s="10">
        <v>4.5599999999999996</v>
      </c>
      <c r="Y62" s="10">
        <v>0</v>
      </c>
      <c r="Z62" s="21">
        <v>0</v>
      </c>
      <c r="AA62" s="41">
        <v>31.578947400000001</v>
      </c>
      <c r="AB62" s="14">
        <v>26.700398790000001</v>
      </c>
      <c r="AC62" s="10">
        <v>1.6</v>
      </c>
      <c r="AD62" s="10">
        <v>15.66</v>
      </c>
      <c r="AE62" s="10">
        <v>1.34</v>
      </c>
      <c r="AF62" s="10">
        <v>4.45</v>
      </c>
      <c r="AG62" s="10">
        <v>0.64</v>
      </c>
      <c r="AH62" s="10">
        <v>3.17</v>
      </c>
      <c r="AI62" s="56">
        <v>0.76</v>
      </c>
      <c r="AJ62" s="10">
        <v>2.5680000000000001</v>
      </c>
      <c r="AK62" s="10">
        <v>0.71130000000000004</v>
      </c>
      <c r="AL62" s="10">
        <v>33.299999999999997</v>
      </c>
      <c r="AM62" s="56">
        <v>1.57</v>
      </c>
    </row>
    <row r="63" spans="1:39" s="46" customFormat="1" ht="30" x14ac:dyDescent="0.2">
      <c r="A63" s="9" t="s">
        <v>110</v>
      </c>
      <c r="B63" s="69" t="s">
        <v>191</v>
      </c>
      <c r="C63" s="10" t="s">
        <v>109</v>
      </c>
      <c r="D63" s="10" t="s">
        <v>6</v>
      </c>
      <c r="E63" s="10" t="s">
        <v>44</v>
      </c>
      <c r="F63" s="11" t="s">
        <v>16</v>
      </c>
      <c r="G63" s="10">
        <v>66.2</v>
      </c>
      <c r="H63" s="10">
        <v>0.05</v>
      </c>
      <c r="I63" s="10">
        <v>20.399999999999999</v>
      </c>
      <c r="J63" s="10">
        <v>2</v>
      </c>
      <c r="K63" s="35" t="s">
        <v>17</v>
      </c>
      <c r="L63" s="12" t="s">
        <v>18</v>
      </c>
      <c r="M63" s="18">
        <v>709</v>
      </c>
      <c r="N63" s="10">
        <v>34.56</v>
      </c>
      <c r="O63" s="14">
        <f t="shared" si="12"/>
        <v>1.7860162033706184</v>
      </c>
      <c r="P63" s="10">
        <v>12.69</v>
      </c>
      <c r="Q63" s="14">
        <f t="shared" si="8"/>
        <v>1.2500854131608212</v>
      </c>
      <c r="R63" s="31">
        <v>1.55</v>
      </c>
      <c r="S63" s="14">
        <f t="shared" si="13"/>
        <v>0.46392800740069112</v>
      </c>
      <c r="T63" s="31">
        <v>1.41</v>
      </c>
      <c r="U63" s="26">
        <f t="shared" si="14"/>
        <v>0.44279516702825755</v>
      </c>
      <c r="V63" s="31">
        <v>24.4</v>
      </c>
      <c r="W63" s="31">
        <v>7.76</v>
      </c>
      <c r="X63" s="10">
        <v>3.39</v>
      </c>
      <c r="Y63" s="10">
        <v>0.28199999999999997</v>
      </c>
      <c r="Z63" s="21">
        <v>0.14099999999999999</v>
      </c>
      <c r="AA63" s="41">
        <v>26.0053619</v>
      </c>
      <c r="AB63" s="10">
        <v>24.55</v>
      </c>
      <c r="AC63" s="10">
        <v>1.74</v>
      </c>
      <c r="AD63" s="10">
        <v>13.82</v>
      </c>
      <c r="AE63" s="10">
        <v>1.53</v>
      </c>
      <c r="AF63" s="10">
        <v>2.72</v>
      </c>
      <c r="AG63" s="10">
        <v>0.85</v>
      </c>
      <c r="AH63" s="10">
        <v>2.44</v>
      </c>
      <c r="AI63" s="56">
        <v>0.65</v>
      </c>
      <c r="AJ63" s="10">
        <v>3.2829999999999999</v>
      </c>
      <c r="AK63" s="10">
        <v>0.77800000000000002</v>
      </c>
      <c r="AL63" s="10">
        <v>49.27</v>
      </c>
      <c r="AM63" s="56">
        <v>2.94</v>
      </c>
    </row>
    <row r="64" spans="1:39" s="46" customFormat="1" ht="15" x14ac:dyDescent="0.2">
      <c r="A64" s="9" t="s">
        <v>111</v>
      </c>
      <c r="B64" s="72" t="s">
        <v>189</v>
      </c>
      <c r="C64" s="10" t="s">
        <v>109</v>
      </c>
      <c r="D64" s="10" t="s">
        <v>24</v>
      </c>
      <c r="E64" s="10" t="s">
        <v>62</v>
      </c>
      <c r="F64" s="11" t="s">
        <v>27</v>
      </c>
      <c r="G64" s="10">
        <v>66.5</v>
      </c>
      <c r="H64" s="10">
        <v>0.5</v>
      </c>
      <c r="I64" s="35" t="s">
        <v>17</v>
      </c>
      <c r="J64" s="12" t="s">
        <v>18</v>
      </c>
      <c r="K64" s="35" t="s">
        <v>17</v>
      </c>
      <c r="L64" s="12" t="s">
        <v>18</v>
      </c>
      <c r="M64" s="18">
        <v>853</v>
      </c>
      <c r="N64" s="10">
        <v>61.1</v>
      </c>
      <c r="O64" s="14">
        <f t="shared" si="12"/>
        <v>1.6692480985572302</v>
      </c>
      <c r="P64" s="10">
        <v>22.1</v>
      </c>
      <c r="Q64" s="14">
        <f t="shared" si="8"/>
        <v>1.4206606458174462</v>
      </c>
      <c r="R64" s="31">
        <v>1.64</v>
      </c>
      <c r="S64" s="14">
        <f t="shared" si="13"/>
        <v>0.43486721639695336</v>
      </c>
      <c r="T64" s="31">
        <v>7.7</v>
      </c>
      <c r="U64" s="26">
        <f t="shared" si="14"/>
        <v>0.9127917317788059</v>
      </c>
      <c r="V64" s="31">
        <v>31.54</v>
      </c>
      <c r="W64" s="31">
        <v>26.62</v>
      </c>
      <c r="X64" s="10">
        <v>3.05</v>
      </c>
      <c r="Y64" s="10">
        <v>11.4</v>
      </c>
      <c r="Z64" s="21">
        <v>6.33</v>
      </c>
      <c r="AA64" s="41">
        <v>23.007063599999999</v>
      </c>
      <c r="AB64" s="10">
        <v>31.4</v>
      </c>
      <c r="AC64" s="10">
        <v>2.0499999999999998</v>
      </c>
      <c r="AD64" s="10">
        <v>16.239999999999998</v>
      </c>
      <c r="AE64" s="10">
        <v>1.87</v>
      </c>
      <c r="AF64" s="10">
        <v>4.03</v>
      </c>
      <c r="AG64" s="10">
        <v>1.33</v>
      </c>
      <c r="AH64" s="10">
        <v>4.5999999999999996</v>
      </c>
      <c r="AI64" s="56">
        <v>0.6</v>
      </c>
      <c r="AJ64" s="10">
        <v>3.09</v>
      </c>
      <c r="AK64" s="10">
        <v>0.78</v>
      </c>
      <c r="AL64" s="10">
        <v>40</v>
      </c>
      <c r="AM64" s="56">
        <v>2.44</v>
      </c>
    </row>
    <row r="65" spans="1:39" s="46" customFormat="1" ht="30" x14ac:dyDescent="0.2">
      <c r="A65" s="9" t="s">
        <v>112</v>
      </c>
      <c r="B65" s="69" t="s">
        <v>191</v>
      </c>
      <c r="C65" s="10" t="s">
        <v>109</v>
      </c>
      <c r="D65" s="10" t="s">
        <v>6</v>
      </c>
      <c r="E65" s="10" t="s">
        <v>44</v>
      </c>
      <c r="F65" s="11" t="s">
        <v>16</v>
      </c>
      <c r="G65" s="10">
        <v>66.599999999999994</v>
      </c>
      <c r="H65" s="10">
        <v>0.05</v>
      </c>
      <c r="I65" s="10">
        <v>6.7</v>
      </c>
      <c r="J65" s="10">
        <v>1.8</v>
      </c>
      <c r="K65" s="35" t="s">
        <v>17</v>
      </c>
      <c r="L65" s="12" t="s">
        <v>18</v>
      </c>
      <c r="M65" s="18">
        <v>1538</v>
      </c>
      <c r="N65" s="10">
        <v>34.72</v>
      </c>
      <c r="O65" s="14">
        <f t="shared" si="12"/>
        <v>1.2139526944421282</v>
      </c>
      <c r="P65" s="10">
        <v>14.8</v>
      </c>
      <c r="Q65" s="14">
        <f t="shared" si="8"/>
        <v>0.90546670893429126</v>
      </c>
      <c r="R65" s="31">
        <v>0.65</v>
      </c>
      <c r="S65" s="14">
        <f t="shared" si="13"/>
        <v>0.20490966641771058</v>
      </c>
      <c r="T65" s="31">
        <v>3.25</v>
      </c>
      <c r="U65" s="26">
        <f t="shared" si="14"/>
        <v>0.45215673025247982</v>
      </c>
      <c r="V65" s="31">
        <v>30.23</v>
      </c>
      <c r="W65" s="31">
        <v>4.8760000000000003</v>
      </c>
      <c r="X65" s="10">
        <v>1.69</v>
      </c>
      <c r="Y65" s="10">
        <v>0.06</v>
      </c>
      <c r="Z65" s="21">
        <v>0.19500000000000001</v>
      </c>
      <c r="AA65" s="41">
        <v>30.102040800000001</v>
      </c>
      <c r="AB65" s="10">
        <v>18.899999999999999</v>
      </c>
      <c r="AC65" s="10">
        <v>2.1800000000000002</v>
      </c>
      <c r="AD65" s="10">
        <v>9.9499999999999993</v>
      </c>
      <c r="AE65" s="10">
        <v>1.88</v>
      </c>
      <c r="AF65" s="10">
        <v>1.77</v>
      </c>
      <c r="AG65" s="10">
        <v>1.08</v>
      </c>
      <c r="AH65" s="10">
        <v>1.66</v>
      </c>
      <c r="AI65" s="56">
        <v>0.47</v>
      </c>
      <c r="AJ65" s="10">
        <v>2.5750000000000002</v>
      </c>
      <c r="AK65" s="10">
        <v>0.69299999999999995</v>
      </c>
      <c r="AL65" s="10">
        <v>28.43</v>
      </c>
      <c r="AM65" s="56">
        <v>1.94</v>
      </c>
    </row>
    <row r="66" spans="1:39" s="46" customFormat="1" ht="30" x14ac:dyDescent="0.2">
      <c r="A66" s="9" t="s">
        <v>113</v>
      </c>
      <c r="B66" s="69" t="s">
        <v>191</v>
      </c>
      <c r="C66" s="10" t="s">
        <v>109</v>
      </c>
      <c r="D66" s="10" t="s">
        <v>6</v>
      </c>
      <c r="E66" s="10" t="s">
        <v>44</v>
      </c>
      <c r="F66" s="11" t="s">
        <v>16</v>
      </c>
      <c r="G66" s="10">
        <v>66.8</v>
      </c>
      <c r="H66" s="10">
        <v>0.05</v>
      </c>
      <c r="I66" s="10">
        <v>12.6</v>
      </c>
      <c r="J66" s="10">
        <v>3</v>
      </c>
      <c r="K66" s="35" t="s">
        <v>17</v>
      </c>
      <c r="L66" s="12" t="s">
        <v>18</v>
      </c>
      <c r="M66" s="18">
        <v>426</v>
      </c>
      <c r="N66" s="10">
        <v>23.23</v>
      </c>
      <c r="O66" s="14">
        <f t="shared" si="12"/>
        <v>2.0460468583292202</v>
      </c>
      <c r="P66" s="10">
        <v>8.69</v>
      </c>
      <c r="Q66" s="14">
        <f t="shared" si="8"/>
        <v>1.3647850610666861</v>
      </c>
      <c r="R66" s="31">
        <v>0.47</v>
      </c>
      <c r="S66" s="14">
        <f t="shared" si="13"/>
        <v>0.33137606114007939</v>
      </c>
      <c r="T66" s="31">
        <v>1.41</v>
      </c>
      <c r="U66" s="26">
        <f t="shared" si="14"/>
        <v>0.57124339303357119</v>
      </c>
      <c r="V66" s="31">
        <v>17.84</v>
      </c>
      <c r="W66" s="31">
        <v>2.82</v>
      </c>
      <c r="X66" s="10">
        <v>2.35</v>
      </c>
      <c r="Y66" s="10">
        <v>0.94</v>
      </c>
      <c r="Z66" s="21">
        <v>0.94</v>
      </c>
      <c r="AA66" s="41">
        <v>23.529411799999998</v>
      </c>
      <c r="AB66" s="10">
        <v>22.28</v>
      </c>
      <c r="AC66" s="10">
        <v>1.41</v>
      </c>
      <c r="AD66" s="10">
        <v>11.71</v>
      </c>
      <c r="AE66" s="10">
        <v>1.3</v>
      </c>
      <c r="AF66" s="25">
        <v>1.42</v>
      </c>
      <c r="AG66" s="25">
        <v>0.64</v>
      </c>
      <c r="AH66" s="10">
        <v>1.7</v>
      </c>
      <c r="AI66" s="56">
        <v>0.46</v>
      </c>
      <c r="AJ66" s="10">
        <v>1.87</v>
      </c>
      <c r="AK66" s="10">
        <v>0.54400000000000004</v>
      </c>
      <c r="AL66" s="10">
        <v>26.78</v>
      </c>
      <c r="AM66" s="56">
        <v>1.72</v>
      </c>
    </row>
    <row r="67" spans="1:39" s="46" customFormat="1" ht="30" x14ac:dyDescent="0.2">
      <c r="A67" s="9" t="s">
        <v>114</v>
      </c>
      <c r="B67" s="69" t="s">
        <v>169</v>
      </c>
      <c r="C67" s="10" t="s">
        <v>115</v>
      </c>
      <c r="D67" s="10" t="s">
        <v>14</v>
      </c>
      <c r="E67" s="10" t="s">
        <v>49</v>
      </c>
      <c r="F67" s="11" t="s">
        <v>16</v>
      </c>
      <c r="G67" s="10" t="s">
        <v>18</v>
      </c>
      <c r="H67" s="10" t="s">
        <v>18</v>
      </c>
      <c r="I67" s="10">
        <v>9.5</v>
      </c>
      <c r="J67" s="10">
        <v>1.8</v>
      </c>
      <c r="K67" s="12">
        <v>1716</v>
      </c>
      <c r="L67" s="12">
        <v>430</v>
      </c>
      <c r="M67" s="18">
        <v>436</v>
      </c>
      <c r="N67" s="10">
        <v>16.513000000000002</v>
      </c>
      <c r="O67" s="14">
        <f t="shared" si="12"/>
        <v>1.7781941353596695</v>
      </c>
      <c r="P67" s="10">
        <v>3.67</v>
      </c>
      <c r="Q67" s="14">
        <f t="shared" si="8"/>
        <v>0.90047273517247084</v>
      </c>
      <c r="R67" s="17">
        <v>1.1468</v>
      </c>
      <c r="S67" s="14">
        <f t="shared" si="13"/>
        <v>0.50991285853835089</v>
      </c>
      <c r="T67" s="17">
        <v>1.6054999999999999</v>
      </c>
      <c r="U67" s="26">
        <f t="shared" si="14"/>
        <v>0.60193184744445105</v>
      </c>
      <c r="V67" s="17">
        <v>10.7798</v>
      </c>
      <c r="W67" s="17">
        <v>3.899</v>
      </c>
      <c r="X67" s="10">
        <v>0.68799999999999994</v>
      </c>
      <c r="Y67" s="10">
        <v>0</v>
      </c>
      <c r="Z67" s="21">
        <v>0.22900000000000001</v>
      </c>
      <c r="AA67" s="41">
        <v>19.047619099999999</v>
      </c>
      <c r="AB67" s="39">
        <v>16.824696509999999</v>
      </c>
      <c r="AC67" s="39">
        <v>1.6953933379999999</v>
      </c>
      <c r="AD67" s="39">
        <v>8.5106767120000004</v>
      </c>
      <c r="AE67" s="39">
        <v>1.3227053499999999</v>
      </c>
      <c r="AF67" s="39">
        <v>2.3498743549999999</v>
      </c>
      <c r="AG67" s="39">
        <v>0.67459568000000003</v>
      </c>
      <c r="AH67" s="39">
        <v>3.8773170600000002</v>
      </c>
      <c r="AI67" s="65">
        <v>0.89909723100000005</v>
      </c>
      <c r="AJ67" s="10">
        <v>2.46</v>
      </c>
      <c r="AK67" s="10">
        <v>0.81</v>
      </c>
      <c r="AL67" s="32">
        <v>20.015819</v>
      </c>
      <c r="AM67" s="57">
        <v>0.83023467399999995</v>
      </c>
    </row>
    <row r="68" spans="1:39" customFormat="1" x14ac:dyDescent="0.2">
      <c r="B68" s="73"/>
    </row>
    <row r="69" spans="1:39" customFormat="1" x14ac:dyDescent="0.2">
      <c r="B69" s="73"/>
    </row>
    <row r="70" spans="1:39" customFormat="1" x14ac:dyDescent="0.2">
      <c r="B70" s="73"/>
    </row>
    <row r="71" spans="1:39" customFormat="1" x14ac:dyDescent="0.2">
      <c r="B71" s="73"/>
    </row>
    <row r="72" spans="1:39" customFormat="1" x14ac:dyDescent="0.2">
      <c r="B72" s="73"/>
    </row>
    <row r="73" spans="1:39" customFormat="1" x14ac:dyDescent="0.2">
      <c r="B73" s="73"/>
    </row>
    <row r="74" spans="1:39" customFormat="1" x14ac:dyDescent="0.2">
      <c r="B74" s="73"/>
    </row>
    <row r="75" spans="1:39" customFormat="1" x14ac:dyDescent="0.2">
      <c r="B75" s="73"/>
    </row>
    <row r="76" spans="1:39" customFormat="1" x14ac:dyDescent="0.2">
      <c r="B76" s="73"/>
    </row>
    <row r="77" spans="1:39" customFormat="1" x14ac:dyDescent="0.2">
      <c r="B77" s="73"/>
    </row>
    <row r="78" spans="1:39" customFormat="1" x14ac:dyDescent="0.2">
      <c r="B78" s="73"/>
    </row>
    <row r="79" spans="1:39" customFormat="1" x14ac:dyDescent="0.2">
      <c r="B79" s="73"/>
    </row>
    <row r="80" spans="1:39" customFormat="1" x14ac:dyDescent="0.2">
      <c r="B80" s="73"/>
    </row>
    <row r="81" spans="2:2" customFormat="1" x14ac:dyDescent="0.2">
      <c r="B81" s="73"/>
    </row>
    <row r="82" spans="2:2" customFormat="1" x14ac:dyDescent="0.2">
      <c r="B82" s="73"/>
    </row>
    <row r="83" spans="2:2" customFormat="1" x14ac:dyDescent="0.2">
      <c r="B83" s="73"/>
    </row>
    <row r="84" spans="2:2" customFormat="1" x14ac:dyDescent="0.2">
      <c r="B84" s="73"/>
    </row>
    <row r="85" spans="2:2" customFormat="1" x14ac:dyDescent="0.2">
      <c r="B85" s="73"/>
    </row>
    <row r="86" spans="2:2" customFormat="1" x14ac:dyDescent="0.2">
      <c r="B86" s="73"/>
    </row>
    <row r="87" spans="2:2" customFormat="1" x14ac:dyDescent="0.2">
      <c r="B87" s="73"/>
    </row>
    <row r="88" spans="2:2" customFormat="1" x14ac:dyDescent="0.2">
      <c r="B88" s="73"/>
    </row>
    <row r="89" spans="2:2" customFormat="1" x14ac:dyDescent="0.2">
      <c r="B89" s="73"/>
    </row>
    <row r="90" spans="2:2" customFormat="1" x14ac:dyDescent="0.2">
      <c r="B90" s="73"/>
    </row>
    <row r="91" spans="2:2" customFormat="1" x14ac:dyDescent="0.2">
      <c r="B91" s="73"/>
    </row>
    <row r="92" spans="2:2" customFormat="1" x14ac:dyDescent="0.2">
      <c r="B92" s="73"/>
    </row>
    <row r="93" spans="2:2" customFormat="1" x14ac:dyDescent="0.2">
      <c r="B93" s="73"/>
    </row>
    <row r="94" spans="2:2" customFormat="1" x14ac:dyDescent="0.2">
      <c r="B94" s="73"/>
    </row>
    <row r="95" spans="2:2" customFormat="1" x14ac:dyDescent="0.2">
      <c r="B95" s="73"/>
    </row>
    <row r="96" spans="2:2" customFormat="1" x14ac:dyDescent="0.2">
      <c r="B96" s="73"/>
    </row>
    <row r="97" spans="2:2" customFormat="1" x14ac:dyDescent="0.2">
      <c r="B97" s="73"/>
    </row>
    <row r="98" spans="2:2" customFormat="1" x14ac:dyDescent="0.2">
      <c r="B98" s="73"/>
    </row>
    <row r="99" spans="2:2" customFormat="1" x14ac:dyDescent="0.2">
      <c r="B99" s="73"/>
    </row>
    <row r="100" spans="2:2" customFormat="1" x14ac:dyDescent="0.2">
      <c r="B100" s="73"/>
    </row>
    <row r="101" spans="2:2" customFormat="1" x14ac:dyDescent="0.2">
      <c r="B101" s="73"/>
    </row>
    <row r="102" spans="2:2" customFormat="1" x14ac:dyDescent="0.2">
      <c r="B102" s="73"/>
    </row>
    <row r="103" spans="2:2" customFormat="1" x14ac:dyDescent="0.2">
      <c r="B103" s="73"/>
    </row>
    <row r="104" spans="2:2" customFormat="1" x14ac:dyDescent="0.2">
      <c r="B104" s="73"/>
    </row>
    <row r="105" spans="2:2" customFormat="1" x14ac:dyDescent="0.2">
      <c r="B105" s="73"/>
    </row>
    <row r="106" spans="2:2" customFormat="1" x14ac:dyDescent="0.2">
      <c r="B106" s="73"/>
    </row>
    <row r="107" spans="2:2" customFormat="1" x14ac:dyDescent="0.2">
      <c r="B107" s="73"/>
    </row>
    <row r="108" spans="2:2" customFormat="1" x14ac:dyDescent="0.2">
      <c r="B108" s="73"/>
    </row>
    <row r="109" spans="2:2" customFormat="1" x14ac:dyDescent="0.2">
      <c r="B109" s="73"/>
    </row>
    <row r="110" spans="2:2" customFormat="1" x14ac:dyDescent="0.2">
      <c r="B110" s="73"/>
    </row>
    <row r="111" spans="2:2" customFormat="1" x14ac:dyDescent="0.2">
      <c r="B111" s="73"/>
    </row>
    <row r="112" spans="2:2" customFormat="1" x14ac:dyDescent="0.2">
      <c r="B112" s="73"/>
    </row>
    <row r="113" spans="2:2" customFormat="1" x14ac:dyDescent="0.2">
      <c r="B113" s="73"/>
    </row>
    <row r="114" spans="2:2" customFormat="1" x14ac:dyDescent="0.2">
      <c r="B114" s="73"/>
    </row>
    <row r="115" spans="2:2" customFormat="1" x14ac:dyDescent="0.2">
      <c r="B115" s="73"/>
    </row>
    <row r="116" spans="2:2" customFormat="1" x14ac:dyDescent="0.2">
      <c r="B116" s="73"/>
    </row>
    <row r="117" spans="2:2" customFormat="1" x14ac:dyDescent="0.2">
      <c r="B117" s="73"/>
    </row>
    <row r="118" spans="2:2" customFormat="1" x14ac:dyDescent="0.2">
      <c r="B118" s="73"/>
    </row>
    <row r="119" spans="2:2" customFormat="1" x14ac:dyDescent="0.2">
      <c r="B119" s="73"/>
    </row>
    <row r="120" spans="2:2" customFormat="1" x14ac:dyDescent="0.2">
      <c r="B120" s="73"/>
    </row>
    <row r="121" spans="2:2" customFormat="1" x14ac:dyDescent="0.2">
      <c r="B121" s="73"/>
    </row>
    <row r="122" spans="2:2" customFormat="1" x14ac:dyDescent="0.2">
      <c r="B122" s="73"/>
    </row>
    <row r="123" spans="2:2" customFormat="1" x14ac:dyDescent="0.2">
      <c r="B123" s="73"/>
    </row>
    <row r="124" spans="2:2" customFormat="1" x14ac:dyDescent="0.2">
      <c r="B124" s="73"/>
    </row>
    <row r="125" spans="2:2" customFormat="1" x14ac:dyDescent="0.2">
      <c r="B125" s="73"/>
    </row>
    <row r="126" spans="2:2" customFormat="1" x14ac:dyDescent="0.2">
      <c r="B126" s="73"/>
    </row>
    <row r="127" spans="2:2" customFormat="1" x14ac:dyDescent="0.2">
      <c r="B127" s="73"/>
    </row>
    <row r="128" spans="2:2" customFormat="1" x14ac:dyDescent="0.2">
      <c r="B128" s="73"/>
    </row>
    <row r="129" spans="2:2" customFormat="1" x14ac:dyDescent="0.2">
      <c r="B129" s="73"/>
    </row>
    <row r="130" spans="2:2" customFormat="1" x14ac:dyDescent="0.2">
      <c r="B130" s="73"/>
    </row>
    <row r="131" spans="2:2" customFormat="1" x14ac:dyDescent="0.2">
      <c r="B131" s="73"/>
    </row>
    <row r="132" spans="2:2" customFormat="1" x14ac:dyDescent="0.2">
      <c r="B132" s="73"/>
    </row>
    <row r="133" spans="2:2" customFormat="1" x14ac:dyDescent="0.2">
      <c r="B133" s="73"/>
    </row>
    <row r="134" spans="2:2" customFormat="1" x14ac:dyDescent="0.2">
      <c r="B134" s="73"/>
    </row>
    <row r="135" spans="2:2" customFormat="1" x14ac:dyDescent="0.2">
      <c r="B135" s="73"/>
    </row>
    <row r="136" spans="2:2" customFormat="1" x14ac:dyDescent="0.2">
      <c r="B136" s="73"/>
    </row>
    <row r="137" spans="2:2" customFormat="1" x14ac:dyDescent="0.2">
      <c r="B137" s="73"/>
    </row>
    <row r="138" spans="2:2" customFormat="1" x14ac:dyDescent="0.2">
      <c r="B138" s="73"/>
    </row>
    <row r="139" spans="2:2" customFormat="1" x14ac:dyDescent="0.2">
      <c r="B139" s="73"/>
    </row>
    <row r="140" spans="2:2" customFormat="1" x14ac:dyDescent="0.2">
      <c r="B140" s="73"/>
    </row>
    <row r="141" spans="2:2" customFormat="1" x14ac:dyDescent="0.2">
      <c r="B141" s="73"/>
    </row>
    <row r="142" spans="2:2" customFormat="1" x14ac:dyDescent="0.2">
      <c r="B142" s="73"/>
    </row>
    <row r="143" spans="2:2" customFormat="1" x14ac:dyDescent="0.2">
      <c r="B143" s="73"/>
    </row>
    <row r="144" spans="2:2" customFormat="1" x14ac:dyDescent="0.2">
      <c r="B144" s="73"/>
    </row>
    <row r="145" spans="2:2" customFormat="1" x14ac:dyDescent="0.2">
      <c r="B145" s="73"/>
    </row>
    <row r="146" spans="2:2" customFormat="1" x14ac:dyDescent="0.2">
      <c r="B146" s="73"/>
    </row>
    <row r="147" spans="2:2" customFormat="1" x14ac:dyDescent="0.2">
      <c r="B147" s="73"/>
    </row>
    <row r="148" spans="2:2" customFormat="1" x14ac:dyDescent="0.2">
      <c r="B148" s="73"/>
    </row>
    <row r="149" spans="2:2" customFormat="1" x14ac:dyDescent="0.2">
      <c r="B149" s="73"/>
    </row>
    <row r="150" spans="2:2" customFormat="1" x14ac:dyDescent="0.2">
      <c r="B150" s="73"/>
    </row>
    <row r="151" spans="2:2" customFormat="1" x14ac:dyDescent="0.2">
      <c r="B151" s="73"/>
    </row>
    <row r="152" spans="2:2" customFormat="1" x14ac:dyDescent="0.2">
      <c r="B152" s="73"/>
    </row>
    <row r="153" spans="2:2" customFormat="1" x14ac:dyDescent="0.2">
      <c r="B153" s="73"/>
    </row>
    <row r="154" spans="2:2" customFormat="1" x14ac:dyDescent="0.2">
      <c r="B154" s="73"/>
    </row>
    <row r="155" spans="2:2" customFormat="1" x14ac:dyDescent="0.2">
      <c r="B155" s="73"/>
    </row>
    <row r="156" spans="2:2" customFormat="1" x14ac:dyDescent="0.2">
      <c r="B156" s="73"/>
    </row>
    <row r="157" spans="2:2" customFormat="1" x14ac:dyDescent="0.2">
      <c r="B157" s="73"/>
    </row>
    <row r="158" spans="2:2" customFormat="1" x14ac:dyDescent="0.2">
      <c r="B158" s="73"/>
    </row>
    <row r="159" spans="2:2" customFormat="1" x14ac:dyDescent="0.2">
      <c r="B159" s="73"/>
    </row>
    <row r="160" spans="2:2" customFormat="1" x14ac:dyDescent="0.2">
      <c r="B160" s="73"/>
    </row>
    <row r="161" spans="2:2" customFormat="1" x14ac:dyDescent="0.2">
      <c r="B161" s="73"/>
    </row>
    <row r="162" spans="2:2" customFormat="1" x14ac:dyDescent="0.2">
      <c r="B162" s="73"/>
    </row>
    <row r="163" spans="2:2" customFormat="1" x14ac:dyDescent="0.2">
      <c r="B163" s="73"/>
    </row>
    <row r="164" spans="2:2" customFormat="1" x14ac:dyDescent="0.2">
      <c r="B164" s="73"/>
    </row>
    <row r="165" spans="2:2" customFormat="1" x14ac:dyDescent="0.2">
      <c r="B165" s="73"/>
    </row>
    <row r="166" spans="2:2" customFormat="1" x14ac:dyDescent="0.2">
      <c r="B166" s="73"/>
    </row>
    <row r="167" spans="2:2" customFormat="1" x14ac:dyDescent="0.2">
      <c r="B167" s="73"/>
    </row>
    <row r="168" spans="2:2" customFormat="1" x14ac:dyDescent="0.2">
      <c r="B168" s="73"/>
    </row>
    <row r="169" spans="2:2" customFormat="1" x14ac:dyDescent="0.2">
      <c r="B169" s="73"/>
    </row>
    <row r="170" spans="2:2" customFormat="1" x14ac:dyDescent="0.2">
      <c r="B170" s="73"/>
    </row>
    <row r="171" spans="2:2" customFormat="1" x14ac:dyDescent="0.2">
      <c r="B171" s="73"/>
    </row>
    <row r="172" spans="2:2" customFormat="1" x14ac:dyDescent="0.2">
      <c r="B172" s="73"/>
    </row>
    <row r="173" spans="2:2" customFormat="1" x14ac:dyDescent="0.2">
      <c r="B173" s="73"/>
    </row>
    <row r="174" spans="2:2" customFormat="1" x14ac:dyDescent="0.2">
      <c r="B174" s="73"/>
    </row>
    <row r="175" spans="2:2" customFormat="1" x14ac:dyDescent="0.2">
      <c r="B175" s="73"/>
    </row>
    <row r="176" spans="2:2" customFormat="1" x14ac:dyDescent="0.2">
      <c r="B176" s="73"/>
    </row>
    <row r="177" spans="2:2" customFormat="1" x14ac:dyDescent="0.2">
      <c r="B177" s="73"/>
    </row>
    <row r="178" spans="2:2" customFormat="1" x14ac:dyDescent="0.2">
      <c r="B178" s="73"/>
    </row>
    <row r="179" spans="2:2" customFormat="1" x14ac:dyDescent="0.2">
      <c r="B179" s="73"/>
    </row>
    <row r="180" spans="2:2" customFormat="1" x14ac:dyDescent="0.2">
      <c r="B180" s="73"/>
    </row>
    <row r="181" spans="2:2" customFormat="1" x14ac:dyDescent="0.2">
      <c r="B181" s="73"/>
    </row>
    <row r="182" spans="2:2" customFormat="1" x14ac:dyDescent="0.2">
      <c r="B182" s="73"/>
    </row>
    <row r="183" spans="2:2" customFormat="1" x14ac:dyDescent="0.2">
      <c r="B183" s="73"/>
    </row>
    <row r="184" spans="2:2" customFormat="1" x14ac:dyDescent="0.2">
      <c r="B184" s="73"/>
    </row>
    <row r="185" spans="2:2" customFormat="1" x14ac:dyDescent="0.2">
      <c r="B185" s="73"/>
    </row>
    <row r="186" spans="2:2" customFormat="1" x14ac:dyDescent="0.2">
      <c r="B186" s="73"/>
    </row>
    <row r="187" spans="2:2" customFormat="1" x14ac:dyDescent="0.2">
      <c r="B187" s="73"/>
    </row>
    <row r="188" spans="2:2" customFormat="1" x14ac:dyDescent="0.2">
      <c r="B188" s="73"/>
    </row>
    <row r="189" spans="2:2" customFormat="1" x14ac:dyDescent="0.2">
      <c r="B189" s="73"/>
    </row>
    <row r="190" spans="2:2" customFormat="1" x14ac:dyDescent="0.2">
      <c r="B190" s="73"/>
    </row>
    <row r="191" spans="2:2" customFormat="1" x14ac:dyDescent="0.2">
      <c r="B191" s="73"/>
    </row>
    <row r="192" spans="2:2" customFormat="1" x14ac:dyDescent="0.2">
      <c r="B192" s="73"/>
    </row>
    <row r="193" spans="2:2" customFormat="1" x14ac:dyDescent="0.2">
      <c r="B193" s="73"/>
    </row>
    <row r="194" spans="2:2" customFormat="1" x14ac:dyDescent="0.2">
      <c r="B194" s="73"/>
    </row>
    <row r="195" spans="2:2" customFormat="1" x14ac:dyDescent="0.2">
      <c r="B195" s="73"/>
    </row>
    <row r="196" spans="2:2" customFormat="1" x14ac:dyDescent="0.2">
      <c r="B196" s="73"/>
    </row>
    <row r="197" spans="2:2" customFormat="1" x14ac:dyDescent="0.2">
      <c r="B197" s="73"/>
    </row>
    <row r="198" spans="2:2" customFormat="1" x14ac:dyDescent="0.2">
      <c r="B198" s="73"/>
    </row>
    <row r="199" spans="2:2" customFormat="1" x14ac:dyDescent="0.2">
      <c r="B199" s="73"/>
    </row>
    <row r="200" spans="2:2" customFormat="1" x14ac:dyDescent="0.2">
      <c r="B200" s="73"/>
    </row>
    <row r="201" spans="2:2" customFormat="1" x14ac:dyDescent="0.2">
      <c r="B201" s="73"/>
    </row>
    <row r="202" spans="2:2" customFormat="1" x14ac:dyDescent="0.2">
      <c r="B202" s="73"/>
    </row>
    <row r="203" spans="2:2" customFormat="1" x14ac:dyDescent="0.2">
      <c r="B203" s="73"/>
    </row>
    <row r="204" spans="2:2" customFormat="1" x14ac:dyDescent="0.2">
      <c r="B204" s="73"/>
    </row>
    <row r="205" spans="2:2" customFormat="1" x14ac:dyDescent="0.2">
      <c r="B205" s="73"/>
    </row>
    <row r="206" spans="2:2" customFormat="1" x14ac:dyDescent="0.2">
      <c r="B206" s="73"/>
    </row>
    <row r="207" spans="2:2" customFormat="1" x14ac:dyDescent="0.2">
      <c r="B207" s="73"/>
    </row>
    <row r="208" spans="2:2" customFormat="1" x14ac:dyDescent="0.2">
      <c r="B208" s="73"/>
    </row>
    <row r="209" spans="2:2" customFormat="1" x14ac:dyDescent="0.2">
      <c r="B209" s="73"/>
    </row>
    <row r="210" spans="2:2" customFormat="1" x14ac:dyDescent="0.2">
      <c r="B210" s="73"/>
    </row>
    <row r="211" spans="2:2" customFormat="1" x14ac:dyDescent="0.2">
      <c r="B211" s="73"/>
    </row>
    <row r="212" spans="2:2" customFormat="1" x14ac:dyDescent="0.2">
      <c r="B212" s="73"/>
    </row>
    <row r="213" spans="2:2" customFormat="1" x14ac:dyDescent="0.2">
      <c r="B213" s="73"/>
    </row>
    <row r="214" spans="2:2" customFormat="1" x14ac:dyDescent="0.2">
      <c r="B214" s="73"/>
    </row>
    <row r="215" spans="2:2" customFormat="1" x14ac:dyDescent="0.2">
      <c r="B215" s="73"/>
    </row>
    <row r="216" spans="2:2" customFormat="1" x14ac:dyDescent="0.2">
      <c r="B216" s="73"/>
    </row>
    <row r="217" spans="2:2" customFormat="1" x14ac:dyDescent="0.2">
      <c r="B217" s="73"/>
    </row>
    <row r="218" spans="2:2" customFormat="1" x14ac:dyDescent="0.2">
      <c r="B218" s="73"/>
    </row>
    <row r="219" spans="2:2" customFormat="1" x14ac:dyDescent="0.2">
      <c r="B219" s="73"/>
    </row>
    <row r="220" spans="2:2" customFormat="1" x14ac:dyDescent="0.2">
      <c r="B220" s="73"/>
    </row>
    <row r="221" spans="2:2" customFormat="1" x14ac:dyDescent="0.2">
      <c r="B221" s="73"/>
    </row>
    <row r="222" spans="2:2" customFormat="1" x14ac:dyDescent="0.2">
      <c r="B222" s="73"/>
    </row>
    <row r="223" spans="2:2" customFormat="1" x14ac:dyDescent="0.2">
      <c r="B223" s="73"/>
    </row>
    <row r="224" spans="2:2" customFormat="1" x14ac:dyDescent="0.2">
      <c r="B224" s="73"/>
    </row>
    <row r="225" spans="2:2" customFormat="1" x14ac:dyDescent="0.2">
      <c r="B225" s="73"/>
    </row>
    <row r="226" spans="2:2" customFormat="1" x14ac:dyDescent="0.2">
      <c r="B226" s="73"/>
    </row>
    <row r="227" spans="2:2" customFormat="1" x14ac:dyDescent="0.2">
      <c r="B227" s="73"/>
    </row>
  </sheetData>
  <phoneticPr fontId="1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"/>
  <sheetViews>
    <sheetView tabSelected="1" workbookViewId="0">
      <selection activeCell="B20" sqref="B20"/>
    </sheetView>
  </sheetViews>
  <sheetFormatPr baseColWidth="10" defaultRowHeight="16" x14ac:dyDescent="0.2"/>
  <cols>
    <col min="1" max="1" width="13.5" customWidth="1"/>
  </cols>
  <sheetData>
    <row r="1" spans="1:1" ht="23" x14ac:dyDescent="0.25">
      <c r="A1" s="78" t="s">
        <v>234</v>
      </c>
    </row>
    <row r="2" spans="1:1" x14ac:dyDescent="0.2">
      <c r="A2" s="75" t="s">
        <v>198</v>
      </c>
    </row>
    <row r="3" spans="1:1" x14ac:dyDescent="0.2">
      <c r="A3" s="76" t="s">
        <v>199</v>
      </c>
    </row>
    <row r="4" spans="1:1" x14ac:dyDescent="0.2">
      <c r="A4" s="76" t="s">
        <v>200</v>
      </c>
    </row>
    <row r="5" spans="1:1" x14ac:dyDescent="0.2">
      <c r="A5" s="77" t="s">
        <v>201</v>
      </c>
    </row>
    <row r="6" spans="1:1" x14ac:dyDescent="0.2">
      <c r="A6" s="76" t="s">
        <v>202</v>
      </c>
    </row>
    <row r="7" spans="1:1" x14ac:dyDescent="0.2">
      <c r="A7" s="76" t="s">
        <v>203</v>
      </c>
    </row>
    <row r="8" spans="1:1" x14ac:dyDescent="0.2">
      <c r="A8" s="76" t="s">
        <v>204</v>
      </c>
    </row>
    <row r="9" spans="1:1" x14ac:dyDescent="0.2">
      <c r="A9" s="76" t="s">
        <v>205</v>
      </c>
    </row>
    <row r="10" spans="1:1" x14ac:dyDescent="0.2">
      <c r="A10" s="76" t="s">
        <v>206</v>
      </c>
    </row>
    <row r="11" spans="1:1" x14ac:dyDescent="0.2">
      <c r="A11" s="76" t="s">
        <v>207</v>
      </c>
    </row>
    <row r="12" spans="1:1" x14ac:dyDescent="0.2">
      <c r="A12" s="76" t="s">
        <v>208</v>
      </c>
    </row>
    <row r="13" spans="1:1" x14ac:dyDescent="0.2">
      <c r="A13" s="76" t="s">
        <v>209</v>
      </c>
    </row>
    <row r="14" spans="1:1" x14ac:dyDescent="0.2">
      <c r="A14" s="76" t="s">
        <v>210</v>
      </c>
    </row>
    <row r="15" spans="1:1" x14ac:dyDescent="0.2">
      <c r="A15" s="76" t="s">
        <v>211</v>
      </c>
    </row>
    <row r="16" spans="1:1" x14ac:dyDescent="0.2">
      <c r="A16" s="76" t="s">
        <v>212</v>
      </c>
    </row>
    <row r="17" spans="1:1" x14ac:dyDescent="0.2">
      <c r="A17" s="76" t="s">
        <v>213</v>
      </c>
    </row>
    <row r="18" spans="1:1" x14ac:dyDescent="0.2">
      <c r="A18" s="76" t="s">
        <v>214</v>
      </c>
    </row>
    <row r="19" spans="1:1" x14ac:dyDescent="0.2">
      <c r="A19" s="77" t="s">
        <v>215</v>
      </c>
    </row>
    <row r="20" spans="1:1" x14ac:dyDescent="0.2">
      <c r="A20" s="76" t="s">
        <v>216</v>
      </c>
    </row>
    <row r="21" spans="1:1" x14ac:dyDescent="0.2">
      <c r="A21" s="76" t="s">
        <v>217</v>
      </c>
    </row>
    <row r="22" spans="1:1" x14ac:dyDescent="0.2">
      <c r="A22" s="76" t="s">
        <v>218</v>
      </c>
    </row>
    <row r="23" spans="1:1" x14ac:dyDescent="0.2">
      <c r="A23" s="76" t="s">
        <v>219</v>
      </c>
    </row>
    <row r="24" spans="1:1" x14ac:dyDescent="0.2">
      <c r="A24" s="76" t="s">
        <v>235</v>
      </c>
    </row>
    <row r="25" spans="1:1" x14ac:dyDescent="0.2">
      <c r="A25" s="76" t="s">
        <v>220</v>
      </c>
    </row>
    <row r="26" spans="1:1" x14ac:dyDescent="0.2">
      <c r="A26" s="76" t="s">
        <v>221</v>
      </c>
    </row>
    <row r="27" spans="1:1" x14ac:dyDescent="0.2">
      <c r="A27" s="76" t="s">
        <v>222</v>
      </c>
    </row>
    <row r="28" spans="1:1" x14ac:dyDescent="0.2">
      <c r="A28" s="76" t="s">
        <v>223</v>
      </c>
    </row>
    <row r="29" spans="1:1" x14ac:dyDescent="0.2">
      <c r="A29" s="76" t="s">
        <v>224</v>
      </c>
    </row>
    <row r="30" spans="1:1" x14ac:dyDescent="0.2">
      <c r="A30" s="76" t="s">
        <v>225</v>
      </c>
    </row>
    <row r="31" spans="1:1" x14ac:dyDescent="0.2">
      <c r="A31" s="76" t="s">
        <v>226</v>
      </c>
    </row>
    <row r="32" spans="1:1" x14ac:dyDescent="0.2">
      <c r="A32" s="76" t="s">
        <v>227</v>
      </c>
    </row>
    <row r="33" spans="1:1" x14ac:dyDescent="0.2">
      <c r="A33" s="76" t="s">
        <v>228</v>
      </c>
    </row>
    <row r="34" spans="1:1" x14ac:dyDescent="0.2">
      <c r="A34" s="76" t="s">
        <v>229</v>
      </c>
    </row>
    <row r="35" spans="1:1" x14ac:dyDescent="0.2">
      <c r="A35" s="76" t="s">
        <v>230</v>
      </c>
    </row>
    <row r="36" spans="1:1" x14ac:dyDescent="0.2">
      <c r="A36" s="76" t="s">
        <v>231</v>
      </c>
    </row>
    <row r="37" spans="1:1" x14ac:dyDescent="0.2">
      <c r="A37" s="76" t="s">
        <v>232</v>
      </c>
    </row>
    <row r="38" spans="1:1" x14ac:dyDescent="0.2">
      <c r="A38" s="76" t="s">
        <v>233</v>
      </c>
    </row>
    <row r="39" spans="1:1" x14ac:dyDescent="0.2">
      <c r="A39" s="76"/>
    </row>
    <row r="40" spans="1:1" x14ac:dyDescent="0.2">
      <c r="A40" s="7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Table</vt:lpstr>
      <vt:lpstr>Full Bibliographic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D. Currano</dc:creator>
  <cp:lastModifiedBy>Ellen D. Currano</cp:lastModifiedBy>
  <dcterms:created xsi:type="dcterms:W3CDTF">2021-04-29T20:35:15Z</dcterms:created>
  <dcterms:modified xsi:type="dcterms:W3CDTF">2021-06-19T19:18:31Z</dcterms:modified>
</cp:coreProperties>
</file>