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onthai/Downloads/summer-research-project/"/>
    </mc:Choice>
  </mc:AlternateContent>
  <xr:revisionPtr revIDLastSave="0" documentId="13_ncr:1_{63FC5308-4AF9-FC4E-8C09-D9AA80AA25ED}" xr6:coauthVersionLast="47" xr6:coauthVersionMax="47" xr10:uidLastSave="{00000000-0000-0000-0000-000000000000}"/>
  <bookViews>
    <workbookView xWindow="19600" yWindow="4460" windowWidth="33600" windowHeight="21000" activeTab="3" xr2:uid="{545D3D87-BFDF-DF4F-A4B6-49EF553C2706}"/>
  </bookViews>
  <sheets>
    <sheet name="Indexing" sheetId="1" r:id="rId1"/>
    <sheet name="Sheet2" sheetId="2" r:id="rId2"/>
    <sheet name="Query Evaluation" sheetId="3" r:id="rId3"/>
    <sheet name="Query Evaluation 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4" l="1"/>
  <c r="V4" i="4"/>
  <c r="V5" i="4"/>
  <c r="E36" i="4"/>
  <c r="C36" i="4"/>
  <c r="D36" i="4"/>
  <c r="B36" i="4"/>
  <c r="C28" i="4"/>
  <c r="D28" i="4"/>
  <c r="B28" i="4"/>
  <c r="W4" i="4"/>
  <c r="W5" i="4" s="1"/>
  <c r="E28" i="4" s="1"/>
  <c r="U5" i="4"/>
  <c r="T4" i="4"/>
  <c r="T5" i="4" s="1"/>
  <c r="AG49" i="1"/>
  <c r="C35" i="4"/>
  <c r="D35" i="4"/>
  <c r="E35" i="4"/>
  <c r="B35" i="4"/>
  <c r="D27" i="4"/>
  <c r="E34" i="4"/>
  <c r="D34" i="4"/>
  <c r="C34" i="4"/>
  <c r="B34" i="4"/>
  <c r="E33" i="4"/>
  <c r="D33" i="4"/>
  <c r="C33" i="4"/>
  <c r="B33" i="4"/>
  <c r="E32" i="4"/>
  <c r="D32" i="4"/>
  <c r="C32" i="4"/>
  <c r="B32" i="4"/>
  <c r="E14" i="4"/>
  <c r="E15" i="4" s="1"/>
  <c r="E26" i="4" s="1"/>
  <c r="D14" i="4"/>
  <c r="D15" i="4" s="1"/>
  <c r="D26" i="4" s="1"/>
  <c r="C14" i="4"/>
  <c r="C15" i="4" s="1"/>
  <c r="C26" i="4" s="1"/>
  <c r="B14" i="4"/>
  <c r="B15" i="4" s="1"/>
  <c r="B26" i="4" s="1"/>
  <c r="N5" i="4"/>
  <c r="B27" i="4" s="1"/>
  <c r="C5" i="4"/>
  <c r="C25" i="4" s="1"/>
  <c r="Q4" i="4"/>
  <c r="Q5" i="4" s="1"/>
  <c r="E27" i="4" s="1"/>
  <c r="P4" i="4"/>
  <c r="P5" i="4" s="1"/>
  <c r="O4" i="4"/>
  <c r="O5" i="4" s="1"/>
  <c r="C27" i="4" s="1"/>
  <c r="N4" i="4"/>
  <c r="K4" i="4"/>
  <c r="K5" i="4" s="1"/>
  <c r="E24" i="4" s="1"/>
  <c r="J4" i="4"/>
  <c r="J5" i="4" s="1"/>
  <c r="D24" i="4" s="1"/>
  <c r="I4" i="4"/>
  <c r="I5" i="4" s="1"/>
  <c r="C24" i="4" s="1"/>
  <c r="H4" i="4"/>
  <c r="H5" i="4" s="1"/>
  <c r="B24" i="4" s="1"/>
  <c r="E4" i="4"/>
  <c r="E5" i="4" s="1"/>
  <c r="E25" i="4" s="1"/>
  <c r="D4" i="4"/>
  <c r="D5" i="4" s="1"/>
  <c r="D25" i="4" s="1"/>
  <c r="C4" i="4"/>
  <c r="B4" i="4"/>
  <c r="B5" i="4" s="1"/>
  <c r="B25" i="4" s="1"/>
  <c r="Q5" i="3"/>
  <c r="Q6" i="3" s="1"/>
  <c r="P5" i="3"/>
  <c r="P6" i="3" s="1"/>
  <c r="O5" i="3"/>
  <c r="O6" i="3" s="1"/>
  <c r="N5" i="3"/>
  <c r="N6" i="3" s="1"/>
  <c r="C33" i="3"/>
  <c r="D33" i="3"/>
  <c r="E33" i="3"/>
  <c r="B33" i="3"/>
  <c r="C32" i="3"/>
  <c r="D32" i="3"/>
  <c r="E32" i="3"/>
  <c r="B32" i="3"/>
  <c r="C31" i="3"/>
  <c r="D31" i="3"/>
  <c r="E31" i="3"/>
  <c r="B31" i="3"/>
  <c r="C27" i="3"/>
  <c r="D27" i="3"/>
  <c r="E27" i="3"/>
  <c r="B27" i="3"/>
  <c r="C26" i="3"/>
  <c r="D26" i="3"/>
  <c r="E26" i="3"/>
  <c r="B26" i="3"/>
  <c r="C25" i="3"/>
  <c r="D25" i="3"/>
  <c r="E25" i="3"/>
  <c r="B25" i="3"/>
  <c r="E6" i="3"/>
  <c r="D5" i="3"/>
  <c r="E5" i="3"/>
  <c r="D6" i="3"/>
  <c r="E15" i="3"/>
  <c r="E16" i="3" s="1"/>
  <c r="D16" i="3"/>
  <c r="D15" i="3"/>
  <c r="C16" i="3"/>
  <c r="C15" i="3"/>
  <c r="B15" i="3"/>
  <c r="B16" i="3" s="1"/>
  <c r="C6" i="3"/>
  <c r="B6" i="3"/>
  <c r="C5" i="3"/>
  <c r="B5" i="3"/>
  <c r="I5" i="3"/>
  <c r="J5" i="3"/>
  <c r="J6" i="3" s="1"/>
  <c r="K5" i="3"/>
  <c r="K6" i="3" s="1"/>
  <c r="I6" i="3"/>
  <c r="H6" i="3"/>
  <c r="H5" i="3"/>
  <c r="N30" i="2"/>
  <c r="N29" i="2"/>
  <c r="M28" i="2"/>
  <c r="M29" i="2"/>
  <c r="M30" i="2"/>
  <c r="L29" i="2"/>
  <c r="L30" i="2"/>
  <c r="L28" i="2"/>
  <c r="O22" i="2"/>
  <c r="O23" i="2"/>
  <c r="O24" i="2"/>
  <c r="P18" i="2"/>
  <c r="P19" i="2"/>
  <c r="P20" i="2"/>
  <c r="L19" i="2"/>
  <c r="L20" i="2"/>
  <c r="L18" i="2"/>
  <c r="C44" i="2"/>
  <c r="D44" i="2"/>
  <c r="B44" i="2"/>
  <c r="C43" i="2"/>
  <c r="D43" i="2"/>
  <c r="E43" i="2"/>
  <c r="B43" i="2"/>
  <c r="E36" i="2"/>
  <c r="E44" i="2" s="1"/>
  <c r="C7" i="2"/>
  <c r="D7" i="2"/>
  <c r="E7" i="2"/>
  <c r="F7" i="2"/>
  <c r="B7" i="2"/>
  <c r="E6" i="2"/>
  <c r="E5" i="2"/>
  <c r="E4" i="2"/>
  <c r="E3" i="2"/>
  <c r="T37" i="1"/>
  <c r="T35" i="1"/>
  <c r="AR79" i="1"/>
  <c r="AR78" i="1"/>
  <c r="AU65" i="1"/>
  <c r="AY68" i="1"/>
  <c r="AY67" i="1"/>
  <c r="AX68" i="1"/>
  <c r="AX67" i="1"/>
  <c r="AU66" i="1"/>
  <c r="AU67" i="1"/>
  <c r="AU68" i="1"/>
  <c r="AT65" i="1"/>
  <c r="AT67" i="1"/>
  <c r="AT68" i="1"/>
  <c r="AQ70" i="1"/>
  <c r="AM70" i="1"/>
  <c r="AR65" i="1"/>
  <c r="AR66" i="1"/>
  <c r="AT66" i="1" s="1"/>
  <c r="AR67" i="1"/>
  <c r="AR68" i="1"/>
  <c r="AR71" i="1" s="1"/>
  <c r="AR64" i="1"/>
  <c r="AS67" i="1" s="1"/>
  <c r="AD62" i="1"/>
  <c r="AD63" i="1"/>
  <c r="AD64" i="1"/>
  <c r="AI83" i="1" s="1"/>
  <c r="AD61" i="1"/>
  <c r="AI80" i="1" s="1"/>
  <c r="AD73" i="1"/>
  <c r="AD74" i="1"/>
  <c r="AE81" i="1" s="1"/>
  <c r="AD75" i="1"/>
  <c r="AE82" i="1" s="1"/>
  <c r="AD76" i="1"/>
  <c r="AE83" i="1" s="1"/>
  <c r="AR72" i="1" l="1"/>
  <c r="AS65" i="1"/>
  <c r="AS68" i="1"/>
  <c r="AT64" i="1"/>
  <c r="AS66" i="1"/>
  <c r="AV68" i="1"/>
  <c r="AE80" i="1"/>
  <c r="AI82" i="1"/>
  <c r="AI81" i="1"/>
  <c r="AE53" i="1" l="1"/>
  <c r="AD53" i="1"/>
  <c r="AC53" i="1"/>
  <c r="AB53" i="1"/>
  <c r="AG53" i="1" s="1"/>
  <c r="AE48" i="1"/>
  <c r="AD48" i="1"/>
  <c r="AC48" i="1"/>
  <c r="AB48" i="1"/>
  <c r="AG48" i="1" s="1"/>
  <c r="Q41" i="1"/>
  <c r="R41" i="1" s="1"/>
  <c r="Q40" i="1"/>
  <c r="R40" i="1" s="1"/>
  <c r="Q38" i="1"/>
  <c r="R38" i="1" s="1"/>
  <c r="Q37" i="1"/>
  <c r="R37" i="1" s="1"/>
  <c r="AE23" i="1"/>
  <c r="AE43" i="1"/>
  <c r="AE33" i="1"/>
  <c r="AD43" i="1"/>
  <c r="AC43" i="1"/>
  <c r="AB43" i="1"/>
  <c r="AE38" i="1"/>
  <c r="AD38" i="1"/>
  <c r="AC38" i="1"/>
  <c r="AB38" i="1"/>
  <c r="AE28" i="1"/>
  <c r="AD28" i="1"/>
  <c r="AC28" i="1"/>
  <c r="AB28" i="1"/>
  <c r="AE18" i="1"/>
  <c r="AD33" i="1"/>
  <c r="AC33" i="1"/>
  <c r="AB33" i="1"/>
  <c r="AD23" i="1"/>
  <c r="AC23" i="1"/>
  <c r="AB23" i="1"/>
  <c r="AD18" i="1"/>
  <c r="AC18" i="1"/>
  <c r="AB18" i="1"/>
  <c r="AC13" i="1"/>
  <c r="AD13" i="1"/>
  <c r="AB13" i="1"/>
  <c r="AC8" i="1"/>
  <c r="AD8" i="1"/>
  <c r="AB8" i="1"/>
  <c r="AG8" i="1" s="1"/>
  <c r="P31" i="1"/>
  <c r="P30" i="1"/>
  <c r="P29" i="1"/>
  <c r="P28" i="1"/>
  <c r="R28" i="1" s="1"/>
  <c r="P20" i="1"/>
  <c r="P21" i="1"/>
  <c r="P22" i="1"/>
  <c r="P23" i="1"/>
  <c r="U5" i="1"/>
  <c r="U6" i="1"/>
  <c r="U7" i="1"/>
  <c r="U8" i="1"/>
  <c r="P8" i="1"/>
  <c r="R8" i="1" s="1"/>
  <c r="P6" i="1"/>
  <c r="R6" i="1" s="1"/>
  <c r="P7" i="1"/>
  <c r="R7" i="1" s="1"/>
  <c r="P5" i="1"/>
  <c r="R5" i="1" s="1"/>
  <c r="AG23" i="1" l="1"/>
  <c r="AG28" i="1"/>
  <c r="AG13" i="1"/>
  <c r="AG38" i="1"/>
  <c r="AG43" i="1"/>
  <c r="AG33" i="1"/>
  <c r="AG18" i="1"/>
  <c r="Q5" i="1"/>
  <c r="W5" i="1" s="1"/>
  <c r="Q8" i="1"/>
  <c r="W8" i="1" s="1"/>
  <c r="Q7" i="1"/>
  <c r="W7" i="1" s="1"/>
  <c r="Q6" i="1"/>
  <c r="W6" i="1" s="1"/>
</calcChain>
</file>

<file path=xl/sharedStrings.xml><?xml version="1.0" encoding="utf-8"?>
<sst xmlns="http://schemas.openxmlformats.org/spreadsheetml/2006/main" count="304" uniqueCount="119">
  <si>
    <t>Main</t>
  </si>
  <si>
    <t>flush</t>
  </si>
  <si>
    <t>n2f</t>
  </si>
  <si>
    <t>pass0</t>
  </si>
  <si>
    <t>alloc table</t>
  </si>
  <si>
    <t>trial 1</t>
  </si>
  <si>
    <t>trial 2</t>
  </si>
  <si>
    <t>trial 3</t>
  </si>
  <si>
    <t>wikismall</t>
  </si>
  <si>
    <t>wikilarge</t>
  </si>
  <si>
    <t>trial 4</t>
  </si>
  <si>
    <t>docs</t>
  </si>
  <si>
    <t>buckets</t>
  </si>
  <si>
    <t>maxbu</t>
  </si>
  <si>
    <t>blocks</t>
  </si>
  <si>
    <t>maxbl</t>
  </si>
  <si>
    <t>in</t>
  </si>
  <si>
    <t>maxin</t>
  </si>
  <si>
    <t>wb</t>
  </si>
  <si>
    <t>maxwb</t>
  </si>
  <si>
    <t>size per</t>
  </si>
  <si>
    <t>total (bytes)</t>
  </si>
  <si>
    <t>total (gb)</t>
  </si>
  <si>
    <t>mb</t>
  </si>
  <si>
    <t>total gb</t>
  </si>
  <si>
    <t>estimated</t>
  </si>
  <si>
    <t>wikiLarge</t>
  </si>
  <si>
    <t>wordbytes</t>
  </si>
  <si>
    <t>infobuf</t>
  </si>
  <si>
    <t>number</t>
  </si>
  <si>
    <t>pass0 time</t>
  </si>
  <si>
    <t>everything on DRAM (without cmap)</t>
  </si>
  <si>
    <t>everything on PMEM (without cmap)</t>
  </si>
  <si>
    <t>everything on PMEM (with cmap)</t>
  </si>
  <si>
    <t>everything on DRAM (with cmap)</t>
  </si>
  <si>
    <t>note: cmap for words to buckets</t>
  </si>
  <si>
    <t>Allocated (GB)</t>
  </si>
  <si>
    <t>wikiSmall</t>
  </si>
  <si>
    <t>N/A</t>
  </si>
  <si>
    <t>Configurations</t>
  </si>
  <si>
    <t>DRAM table</t>
  </si>
  <si>
    <t>DRAM table, CMAP (word to bucket)</t>
  </si>
  <si>
    <t xml:space="preserve">DRAM table, </t>
  </si>
  <si>
    <t>PMEM table, CMAP (word to bucket)</t>
  </si>
  <si>
    <t>PMEM table, VCMAP (word to bucket)</t>
  </si>
  <si>
    <t>PMEM table</t>
  </si>
  <si>
    <t>DRAM table, VCMAP (word to bucket)</t>
  </si>
  <si>
    <t>Trial</t>
  </si>
  <si>
    <t>AVG</t>
  </si>
  <si>
    <t>Small Dataset and large</t>
  </si>
  <si>
    <t xml:space="preserve"> </t>
  </si>
  <si>
    <t>Infobuff and word buffer</t>
  </si>
  <si>
    <t>Dataset Size</t>
  </si>
  <si>
    <t>Small</t>
  </si>
  <si>
    <t>Large</t>
  </si>
  <si>
    <t>w2b cmap 5 gb</t>
  </si>
  <si>
    <t>n2f cmap 5 gb</t>
  </si>
  <si>
    <t>Total</t>
  </si>
  <si>
    <t>PMEM table (cmap)</t>
  </si>
  <si>
    <t>PMEM table (cmap on dram)</t>
  </si>
  <si>
    <t>GB</t>
  </si>
  <si>
    <t>CMAP (w2b) small</t>
  </si>
  <si>
    <t>CMAP (w2b) large</t>
  </si>
  <si>
    <t>CMAP (n2f) small</t>
  </si>
  <si>
    <t>CMAP (n2f) large</t>
  </si>
  <si>
    <t>Small dataset</t>
  </si>
  <si>
    <t>Large dataset</t>
  </si>
  <si>
    <t>DocId</t>
  </si>
  <si>
    <t>Allocate Table</t>
  </si>
  <si>
    <t>Flush</t>
  </si>
  <si>
    <t>Pass0</t>
  </si>
  <si>
    <t>table-dram</t>
  </si>
  <si>
    <t>cmap-dram</t>
  </si>
  <si>
    <t>table-pm</t>
  </si>
  <si>
    <t>cmap-pm</t>
  </si>
  <si>
    <t>Total Indexing Time</t>
  </si>
  <si>
    <t>base</t>
  </si>
  <si>
    <t>Sort</t>
  </si>
  <si>
    <t>Merge</t>
  </si>
  <si>
    <t>Faster</t>
  </si>
  <si>
    <t>pass0 %</t>
  </si>
  <si>
    <t>Faster DocID</t>
  </si>
  <si>
    <t>Slower than table-pm</t>
  </si>
  <si>
    <t>pass0 faster</t>
  </si>
  <si>
    <t>DocID</t>
  </si>
  <si>
    <t>Reads</t>
  </si>
  <si>
    <t>Writes</t>
  </si>
  <si>
    <t>Checks</t>
  </si>
  <si>
    <t>Other</t>
  </si>
  <si>
    <t>Dofiles (Total)</t>
  </si>
  <si>
    <t>Avg</t>
  </si>
  <si>
    <t>Small Dataset</t>
  </si>
  <si>
    <t>Large Dataset</t>
  </si>
  <si>
    <t>Time</t>
  </si>
  <si>
    <t>Count</t>
  </si>
  <si>
    <t>Time/Count</t>
  </si>
  <si>
    <t>Scaled</t>
  </si>
  <si>
    <t>Avg (4 runs)</t>
  </si>
  <si>
    <t>Sum</t>
  </si>
  <si>
    <t>QPS</t>
  </si>
  <si>
    <t>Average Latency</t>
  </si>
  <si>
    <t>Min</t>
  </si>
  <si>
    <t>Max</t>
  </si>
  <si>
    <t>99th Percentile Tail</t>
  </si>
  <si>
    <t>Table PM</t>
  </si>
  <si>
    <t>Stock</t>
  </si>
  <si>
    <t>Table PM (DRAM Cache)</t>
  </si>
  <si>
    <t>Configuration</t>
  </si>
  <si>
    <t>table-pm-dc</t>
  </si>
  <si>
    <t>stock</t>
  </si>
  <si>
    <t xml:space="preserve">99th Percentile Tail Latency </t>
  </si>
  <si>
    <t>Note min results first 14 missing for 1000, 10000</t>
  </si>
  <si>
    <t>table sst</t>
  </si>
  <si>
    <t>table-sst</t>
  </si>
  <si>
    <t>sst</t>
  </si>
  <si>
    <t xml:space="preserve">Stock </t>
  </si>
  <si>
    <t>table sst (small dataset)</t>
  </si>
  <si>
    <t>table sst-dc</t>
  </si>
  <si>
    <t>table-sst-dc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</si>
</sst>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2"/>
      <color rgb="FF000000"/>
      <name val="Helvetica"/>
      <family val="2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5" xfId="0" applyBorder="1"/>
    <xf numFmtId="0" fontId="0" fillId="3" borderId="1" xfId="0" applyFill="1" applyBorder="1"/>
    <xf numFmtId="2" fontId="0" fillId="2" borderId="1" xfId="0" applyNumberFormat="1" applyFill="1" applyBorder="1"/>
    <xf numFmtId="0" fontId="0" fillId="0" borderId="3" xfId="0" applyFill="1" applyBorder="1"/>
    <xf numFmtId="0" fontId="0" fillId="3" borderId="0" xfId="0" applyFill="1" applyBorder="1"/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0" xfId="0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B-3647-847D-56291D9A2C3B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B-3647-847D-56291D9A2C3B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B-3647-847D-56291D9A2C3B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B-3647-847D-56291D9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26287"/>
        <c:axId val="1618227103"/>
      </c:barChart>
      <c:catAx>
        <c:axId val="16182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7103"/>
        <c:crosses val="autoZero"/>
        <c:auto val="1"/>
        <c:lblAlgn val="ctr"/>
        <c:lblOffset val="100"/>
        <c:noMultiLvlLbl val="0"/>
      </c:catAx>
      <c:valAx>
        <c:axId val="161822710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62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Evaluation'!$A$25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Evaluation'!$B$25:$E$25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9-B147-8D84-16DB8CBF29E9}"/>
            </c:ext>
          </c:extLst>
        </c:ser>
        <c:ser>
          <c:idx val="1"/>
          <c:order val="1"/>
          <c:tx>
            <c:strRef>
              <c:f>'Query Evaluation'!$A$26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Evaluation'!$B$26:$E$26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9-B147-8D84-16DB8CBF29E9}"/>
            </c:ext>
          </c:extLst>
        </c:ser>
        <c:ser>
          <c:idx val="2"/>
          <c:order val="2"/>
          <c:tx>
            <c:strRef>
              <c:f>'Query Evaluation'!$A$27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Evaluation'!$B$27:$E$27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9-B147-8D84-16DB8CBF29E9}"/>
            </c:ext>
          </c:extLst>
        </c:ser>
        <c:ser>
          <c:idx val="3"/>
          <c:order val="3"/>
          <c:tx>
            <c:v>table-sst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V2'!$B$27:$E$27</c:f>
              <c:numCache>
                <c:formatCode>General</c:formatCode>
                <c:ptCount val="4"/>
                <c:pt idx="0">
                  <c:v>1290.1561088891756</c:v>
                </c:pt>
                <c:pt idx="1">
                  <c:v>427.9118330459192</c:v>
                </c:pt>
                <c:pt idx="2">
                  <c:v>448.4606587887078</c:v>
                </c:pt>
                <c:pt idx="3">
                  <c:v>440.94238205893635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39-B147-8D84-16DB8CBF29E9}"/>
            </c:ext>
          </c:extLst>
        </c:ser>
        <c:ser>
          <c:idx val="4"/>
          <c:order val="4"/>
          <c:tx>
            <c:strRef>
              <c:f>'Query Evaluation V2'!$A$28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V2'!$B$28:$E$28</c:f>
              <c:numCache>
                <c:formatCode>General</c:formatCode>
                <c:ptCount val="4"/>
                <c:pt idx="0">
                  <c:v>1288.8258796236628</c:v>
                </c:pt>
                <c:pt idx="1">
                  <c:v>393.12193856290344</c:v>
                </c:pt>
                <c:pt idx="2">
                  <c:v>476.96497646177846</c:v>
                </c:pt>
                <c:pt idx="3">
                  <c:v>561.30897252392583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39-B147-8D84-16DB8CBF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2447"/>
        <c:axId val="124767887"/>
      </c:scatterChart>
      <c:valAx>
        <c:axId val="702924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 of</a:t>
                </a:r>
                <a:r>
                  <a:rPr lang="en-GB" sz="1500" baseline="0"/>
                  <a:t>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887"/>
        <c:crosses val="autoZero"/>
        <c:crossBetween val="midCat"/>
      </c:valAx>
      <c:valAx>
        <c:axId val="124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Evaluation'!$A$31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Evaluation'!$B$31:$E$31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7-0548-889D-8F6CD5AE1EB9}"/>
            </c:ext>
          </c:extLst>
        </c:ser>
        <c:ser>
          <c:idx val="1"/>
          <c:order val="1"/>
          <c:tx>
            <c:strRef>
              <c:f>'Query Evaluation'!$A$32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Evaluation'!$B$32:$E$32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7-0548-889D-8F6CD5AE1EB9}"/>
            </c:ext>
          </c:extLst>
        </c:ser>
        <c:ser>
          <c:idx val="2"/>
          <c:order val="2"/>
          <c:tx>
            <c:strRef>
              <c:f>'Query Evaluation'!$A$33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Evaluation'!$B$33:$E$33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7-0548-889D-8F6CD5AE1EB9}"/>
            </c:ext>
          </c:extLst>
        </c:ser>
        <c:ser>
          <c:idx val="3"/>
          <c:order val="3"/>
          <c:tx>
            <c:strRef>
              <c:f>'Query Evaluation V2'!$A$35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V2'!$B$35:$E$35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D7-0548-889D-8F6CD5AE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4191"/>
        <c:axId val="149692879"/>
      </c:scatterChart>
      <c:valAx>
        <c:axId val="9435419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</a:t>
                </a:r>
                <a:r>
                  <a:rPr lang="en-GB" sz="1500" baseline="0"/>
                  <a:t>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79"/>
        <c:crosses val="autoZero"/>
        <c:crossBetween val="midCat"/>
      </c:valAx>
      <c:valAx>
        <c:axId val="149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Tail Latency (s)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6F4A-BDB0-69BEF3A2C5E3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6F4A-BDB0-69BEF3A2C5E3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6F4A-BDB0-69BEF3A2C5E3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6F4A-BDB0-69BEF3A2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803775"/>
        <c:axId val="1652685423"/>
      </c:barChart>
      <c:catAx>
        <c:axId val="16248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85423"/>
        <c:crosses val="autoZero"/>
        <c:auto val="1"/>
        <c:lblAlgn val="ctr"/>
        <c:lblOffset val="100"/>
        <c:noMultiLvlLbl val="0"/>
      </c:catAx>
      <c:valAx>
        <c:axId val="16526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Indexing!$Z$72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Indexing!$Z$73:$Z$76</c:f>
              <c:numCache>
                <c:formatCode>General</c:formatCode>
                <c:ptCount val="4"/>
                <c:pt idx="0">
                  <c:v>69.392499999999998</c:v>
                </c:pt>
                <c:pt idx="1">
                  <c:v>69.31</c:v>
                </c:pt>
                <c:pt idx="2">
                  <c:v>54.202500000000001</c:v>
                </c:pt>
                <c:pt idx="3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2243-9E02-9338AB73587C}"/>
            </c:ext>
          </c:extLst>
        </c:ser>
        <c:ser>
          <c:idx val="1"/>
          <c:order val="1"/>
          <c:tx>
            <c:strRef>
              <c:f>Indexing!$AA$72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Indexing!$AA$73:$AA$76</c:f>
              <c:numCache>
                <c:formatCode>General</c:formatCode>
                <c:ptCount val="4"/>
                <c:pt idx="0">
                  <c:v>0</c:v>
                </c:pt>
                <c:pt idx="1">
                  <c:v>16.407500000000002</c:v>
                </c:pt>
                <c:pt idx="2">
                  <c:v>16.309999999999999</c:v>
                </c:pt>
                <c:pt idx="3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2243-9E02-9338AB73587C}"/>
            </c:ext>
          </c:extLst>
        </c:ser>
        <c:ser>
          <c:idx val="2"/>
          <c:order val="2"/>
          <c:tx>
            <c:strRef>
              <c:f>Indexing!$AB$72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Indexing!$AB$73:$AB$76</c:f>
              <c:numCache>
                <c:formatCode>General</c:formatCode>
                <c:ptCount val="4"/>
                <c:pt idx="0" formatCode="0.00">
                  <c:v>119.00999999999999</c:v>
                </c:pt>
                <c:pt idx="1">
                  <c:v>180.45249999999999</c:v>
                </c:pt>
                <c:pt idx="2">
                  <c:v>1341.4625000000001</c:v>
                </c:pt>
                <c:pt idx="3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D-2243-9E02-9338AB73587C}"/>
            </c:ext>
          </c:extLst>
        </c:ser>
        <c:ser>
          <c:idx val="3"/>
          <c:order val="3"/>
          <c:tx>
            <c:strRef>
              <c:f>Indexing!$AC$72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Indexing!$AC$73:$AC$76</c:f>
              <c:numCache>
                <c:formatCode>General</c:formatCode>
                <c:ptCount val="4"/>
                <c:pt idx="0">
                  <c:v>0</c:v>
                </c:pt>
                <c:pt idx="1">
                  <c:v>11.26</c:v>
                </c:pt>
                <c:pt idx="2">
                  <c:v>11.022500000000001</c:v>
                </c:pt>
                <c:pt idx="3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D-2243-9E02-9338AB73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39311"/>
        <c:axId val="1626931679"/>
      </c:barChart>
      <c:catAx>
        <c:axId val="16272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31679"/>
        <c:crosses val="autoZero"/>
        <c:auto val="1"/>
        <c:lblAlgn val="ctr"/>
        <c:lblOffset val="100"/>
        <c:noMultiLvlLbl val="0"/>
      </c:catAx>
      <c:valAx>
        <c:axId val="1626931679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3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Small Dataset</c:v>
          </c:tx>
          <c:spPr>
            <a:solidFill>
              <a:srgbClr val="92D050"/>
            </a:solidFill>
          </c:spPr>
          <c:invertIfNegative val="0"/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Indexing!$AI$80:$AI$83</c:f>
              <c:numCache>
                <c:formatCode>General</c:formatCode>
                <c:ptCount val="4"/>
                <c:pt idx="0">
                  <c:v>0.11722830364169708</c:v>
                </c:pt>
                <c:pt idx="1">
                  <c:v>0.18320574276788057</c:v>
                </c:pt>
                <c:pt idx="2">
                  <c:v>0.93863728506355693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B1-4840-844D-28AFA203484E}"/>
            </c:ext>
          </c:extLst>
        </c:ser>
        <c:ser>
          <c:idx val="0"/>
          <c:order val="1"/>
          <c:tx>
            <c:v>Large Dataset</c:v>
          </c:tx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EB1-4840-844D-28AFA2034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EB1-4840-844D-28AFA2034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EB1-4840-844D-28AFA2034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EB1-4840-844D-28AFA203484E}"/>
              </c:ext>
            </c:extLst>
          </c:dPt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Indexing!$AE$80:$AE$83</c:f>
              <c:numCache>
                <c:formatCode>General</c:formatCode>
                <c:ptCount val="4"/>
                <c:pt idx="0">
                  <c:v>0.12458299306007874</c:v>
                </c:pt>
                <c:pt idx="1">
                  <c:v>0.18345329687587819</c:v>
                </c:pt>
                <c:pt idx="2">
                  <c:v>0.94097099384036531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B1-4840-844D-28AFA203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93407"/>
        <c:axId val="1675650191"/>
      </c:barChart>
      <c:catAx>
        <c:axId val="16019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50191"/>
        <c:crosses val="autoZero"/>
        <c:auto val="1"/>
        <c:lblAlgn val="ctr"/>
        <c:lblOffset val="100"/>
        <c:noMultiLvlLbl val="0"/>
      </c:catAx>
      <c:valAx>
        <c:axId val="167565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Normalized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93407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Indexing!$AL$63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Indexing!$AL$64:$AL$68</c:f>
              <c:numCache>
                <c:formatCode>General</c:formatCode>
                <c:ptCount val="5"/>
                <c:pt idx="0">
                  <c:v>17.45</c:v>
                </c:pt>
                <c:pt idx="1">
                  <c:v>69.392499999999998</c:v>
                </c:pt>
                <c:pt idx="2">
                  <c:v>69.31</c:v>
                </c:pt>
                <c:pt idx="3">
                  <c:v>54.202500000000001</c:v>
                </c:pt>
                <c:pt idx="4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CB43-BC0B-2EB5E2C61F26}"/>
            </c:ext>
          </c:extLst>
        </c:ser>
        <c:ser>
          <c:idx val="1"/>
          <c:order val="1"/>
          <c:tx>
            <c:strRef>
              <c:f>Indexing!$AM$63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Indexing!$AM$64:$AM$68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16.407500000000002</c:v>
                </c:pt>
                <c:pt idx="3">
                  <c:v>16.309999999999999</c:v>
                </c:pt>
                <c:pt idx="4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CB43-BC0B-2EB5E2C61F26}"/>
            </c:ext>
          </c:extLst>
        </c:ser>
        <c:ser>
          <c:idx val="2"/>
          <c:order val="2"/>
          <c:tx>
            <c:strRef>
              <c:f>Indexing!$AN$63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Indexing!$AN$64:$AN$68</c:f>
              <c:numCache>
                <c:formatCode>0.00</c:formatCode>
                <c:ptCount val="5"/>
                <c:pt idx="0" formatCode="General">
                  <c:v>107.03</c:v>
                </c:pt>
                <c:pt idx="1">
                  <c:v>119.00999999999999</c:v>
                </c:pt>
                <c:pt idx="2" formatCode="General">
                  <c:v>180.45249999999999</c:v>
                </c:pt>
                <c:pt idx="3" formatCode="General">
                  <c:v>1341.4625000000001</c:v>
                </c:pt>
                <c:pt idx="4" formatCode="General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6-CB43-BC0B-2EB5E2C61F26}"/>
            </c:ext>
          </c:extLst>
        </c:ser>
        <c:ser>
          <c:idx val="3"/>
          <c:order val="3"/>
          <c:tx>
            <c:strRef>
              <c:f>Indexing!$AO$63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Indexing!$AO$64:$AO$68</c:f>
              <c:numCache>
                <c:formatCode>General</c:formatCode>
                <c:ptCount val="5"/>
                <c:pt idx="0">
                  <c:v>169.13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6-CB43-BC0B-2EB5E2C61F26}"/>
            </c:ext>
          </c:extLst>
        </c:ser>
        <c:ser>
          <c:idx val="4"/>
          <c:order val="4"/>
          <c:tx>
            <c:strRef>
              <c:f>Indexing!$AP$63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Indexing!$AP$64:$AP$68</c:f>
              <c:numCache>
                <c:formatCode>General</c:formatCode>
                <c:ptCount val="5"/>
                <c:pt idx="0">
                  <c:v>66.23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6-CB43-BC0B-2EB5E2C61F26}"/>
            </c:ext>
          </c:extLst>
        </c:ser>
        <c:ser>
          <c:idx val="5"/>
          <c:order val="5"/>
          <c:tx>
            <c:strRef>
              <c:f>Indexing!$AQ$63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Indexing!$AQ$64:$AQ$68</c:f>
              <c:numCache>
                <c:formatCode>General</c:formatCode>
                <c:ptCount val="5"/>
                <c:pt idx="0">
                  <c:v>124.45</c:v>
                </c:pt>
                <c:pt idx="1">
                  <c:v>0</c:v>
                </c:pt>
                <c:pt idx="2">
                  <c:v>11.26</c:v>
                </c:pt>
                <c:pt idx="3">
                  <c:v>11.022500000000001</c:v>
                </c:pt>
                <c:pt idx="4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6-CB43-BC0B-2EB5E2C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101199"/>
        <c:axId val="1685330527"/>
      </c:barChart>
      <c:catAx>
        <c:axId val="16771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30527"/>
        <c:crosses val="autoZero"/>
        <c:auto val="1"/>
        <c:lblAlgn val="ctr"/>
        <c:lblOffset val="100"/>
        <c:noMultiLvlLbl val="0"/>
      </c:catAx>
      <c:valAx>
        <c:axId val="16853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Sheet2!$B$43:$B$44</c:f>
              <c:numCache>
                <c:formatCode>General</c:formatCode>
                <c:ptCount val="2"/>
                <c:pt idx="0">
                  <c:v>8.6754188302145582E-2</c:v>
                </c:pt>
                <c:pt idx="1">
                  <c:v>5.2172629827879964E-2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6-C640-82C2-5E1D75AA9218}"/>
            </c:ext>
          </c:extLst>
        </c:ser>
        <c:ser>
          <c:idx val="1"/>
          <c:order val="1"/>
          <c:tx>
            <c:strRef>
              <c:f>Sheet2!$C$42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Sheet2!$C$43:$C$44</c:f>
              <c:numCache>
                <c:formatCode>General</c:formatCode>
                <c:ptCount val="2"/>
                <c:pt idx="0">
                  <c:v>0.43186048790046044</c:v>
                </c:pt>
                <c:pt idx="1">
                  <c:v>0.45334111428609764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6-C640-82C2-5E1D75AA9218}"/>
            </c:ext>
          </c:extLst>
        </c:ser>
        <c:ser>
          <c:idx val="2"/>
          <c:order val="2"/>
          <c:tx>
            <c:strRef>
              <c:f>Sheet2!$D$42</c:f>
              <c:strCache>
                <c:ptCount val="1"/>
                <c:pt idx="0">
                  <c:v>Checks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Sheet2!$D$43:$D$44</c:f>
              <c:numCache>
                <c:formatCode>General</c:formatCode>
                <c:ptCount val="2"/>
                <c:pt idx="0">
                  <c:v>0.36421083570098944</c:v>
                </c:pt>
                <c:pt idx="1">
                  <c:v>0.37090326129244311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6-C640-82C2-5E1D75AA9218}"/>
            </c:ext>
          </c:extLst>
        </c:ser>
        <c:ser>
          <c:idx val="3"/>
          <c:order val="3"/>
          <c:tx>
            <c:strRef>
              <c:f>Sheet2!$E$42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Sheet2!$E$43:$E$44</c:f>
              <c:numCache>
                <c:formatCode>General</c:formatCode>
                <c:ptCount val="2"/>
                <c:pt idx="0">
                  <c:v>0.11722347408641128</c:v>
                </c:pt>
                <c:pt idx="1">
                  <c:v>0.12358299459357938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6-C640-82C2-5E1D75A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215008"/>
        <c:axId val="1934182512"/>
      </c:barChart>
      <c:catAx>
        <c:axId val="1934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82512"/>
        <c:crosses val="autoZero"/>
        <c:auto val="1"/>
        <c:lblAlgn val="ctr"/>
        <c:lblOffset val="100"/>
        <c:noMultiLvlLbl val="0"/>
      </c:catAx>
      <c:valAx>
        <c:axId val="193418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Sheet2!$N$18:$N$20</c:f>
              <c:strCache>
                <c:ptCount val="3"/>
                <c:pt idx="0">
                  <c:v>Reads</c:v>
                </c:pt>
                <c:pt idx="1">
                  <c:v>Writes</c:v>
                </c:pt>
                <c:pt idx="2">
                  <c:v>Checks</c:v>
                </c:pt>
              </c:strCache>
            </c:strRef>
          </c:cat>
          <c:val>
            <c:numRef>
              <c:f>Sheet2!$O$18:$O$20</c:f>
              <c:numCache>
                <c:formatCode>General</c:formatCode>
                <c:ptCount val="3"/>
                <c:pt idx="0">
                  <c:v>1.7583303849916881E-7</c:v>
                </c:pt>
                <c:pt idx="1">
                  <c:v>6.0789718121342221E-5</c:v>
                </c:pt>
                <c:pt idx="2">
                  <c:v>7.278294097272897E-7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F847-A068-029B4AAA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165600"/>
        <c:axId val="1934411648"/>
      </c:barChart>
      <c:catAx>
        <c:axId val="19341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1648"/>
        <c:crosses val="autoZero"/>
        <c:auto val="1"/>
        <c:lblAlgn val="ctr"/>
        <c:lblOffset val="100"/>
        <c:noMultiLvlLbl val="0"/>
      </c:catAx>
      <c:valAx>
        <c:axId val="1934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Evaluation'!$A$25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Evaluation'!$B$25:$E$25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D-B84B-9A6B-B36390F5EE48}"/>
            </c:ext>
          </c:extLst>
        </c:ser>
        <c:ser>
          <c:idx val="1"/>
          <c:order val="1"/>
          <c:tx>
            <c:strRef>
              <c:f>'Query Evaluation'!$A$26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Evaluation'!$B$26:$E$26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D-B84B-9A6B-B36390F5EE48}"/>
            </c:ext>
          </c:extLst>
        </c:ser>
        <c:ser>
          <c:idx val="2"/>
          <c:order val="2"/>
          <c:tx>
            <c:strRef>
              <c:f>'Query Evaluation'!$A$27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Evaluation'!$B$27:$E$27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D-B84B-9A6B-B36390F5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2447"/>
        <c:axId val="124767887"/>
      </c:scatterChart>
      <c:valAx>
        <c:axId val="702924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 of</a:t>
                </a:r>
                <a:r>
                  <a:rPr lang="en-GB" sz="1500" baseline="0"/>
                  <a:t>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887"/>
        <c:crosses val="autoZero"/>
        <c:crossBetween val="midCat"/>
      </c:valAx>
      <c:valAx>
        <c:axId val="124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Evaluation'!$A$31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Evaluation'!$B$31:$E$31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D43-8F66-E7AA24B22661}"/>
            </c:ext>
          </c:extLst>
        </c:ser>
        <c:ser>
          <c:idx val="1"/>
          <c:order val="1"/>
          <c:tx>
            <c:strRef>
              <c:f>'Query Evaluation'!$A$32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Evaluation'!$B$32:$E$32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1-4D43-8F66-E7AA24B22661}"/>
            </c:ext>
          </c:extLst>
        </c:ser>
        <c:ser>
          <c:idx val="2"/>
          <c:order val="2"/>
          <c:tx>
            <c:strRef>
              <c:f>'Query Evaluation'!$A$33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Evaluation'!$B$33:$E$33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1-4D43-8F66-E7AA24B2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4191"/>
        <c:axId val="149692879"/>
      </c:scatterChart>
      <c:valAx>
        <c:axId val="9435419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</a:t>
                </a:r>
                <a:r>
                  <a:rPr lang="en-GB" sz="1500" baseline="0"/>
                  <a:t>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79"/>
        <c:crosses val="autoZero"/>
        <c:crossBetween val="midCat"/>
      </c:valAx>
      <c:valAx>
        <c:axId val="149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Tail Latency (s)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77</xdr:row>
      <xdr:rowOff>6350</xdr:rowOff>
    </xdr:from>
    <xdr:to>
      <xdr:col>23</xdr:col>
      <xdr:colOff>711200</xdr:colOff>
      <xdr:row>108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39BEA-FAA7-284F-ABAB-761484EC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67</xdr:row>
      <xdr:rowOff>95250</xdr:rowOff>
    </xdr:from>
    <xdr:to>
      <xdr:col>17</xdr:col>
      <xdr:colOff>812800</xdr:colOff>
      <xdr:row>98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0642F9-C4A6-224D-88DB-3B3C1545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495300</xdr:colOff>
      <xdr:row>77</xdr:row>
      <xdr:rowOff>31750</xdr:rowOff>
    </xdr:from>
    <xdr:to>
      <xdr:col>27</xdr:col>
      <xdr:colOff>342900</xdr:colOff>
      <xdr:row>107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7D2D71-D369-384A-A866-C94E2A54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83</xdr:row>
      <xdr:rowOff>196850</xdr:rowOff>
    </xdr:from>
    <xdr:to>
      <xdr:col>33</xdr:col>
      <xdr:colOff>482600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DCD84F-61D1-3E42-8684-3657EEF4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70</xdr:row>
      <xdr:rowOff>57150</xdr:rowOff>
    </xdr:from>
    <xdr:to>
      <xdr:col>42</xdr:col>
      <xdr:colOff>406400</xdr:colOff>
      <xdr:row>105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B01C2C-80E0-F545-BE52-B7361066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33</xdr:row>
      <xdr:rowOff>171450</xdr:rowOff>
    </xdr:from>
    <xdr:to>
      <xdr:col>11</xdr:col>
      <xdr:colOff>876300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98EBE-552E-C445-A130-31C9D8FC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393700</xdr:colOff>
      <xdr:row>20</xdr:row>
      <xdr:rowOff>184150</xdr:rowOff>
    </xdr:from>
    <xdr:to>
      <xdr:col>23</xdr:col>
      <xdr:colOff>12700</xdr:colOff>
      <xdr:row>34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5A652-F39B-A141-B56B-6DC37DBE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18</xdr:row>
      <xdr:rowOff>6350</xdr:rowOff>
    </xdr:from>
    <xdr:to>
      <xdr:col>10</xdr:col>
      <xdr:colOff>323850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ED1C9-EAD7-8344-9513-23A7763A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768350</xdr:colOff>
      <xdr:row>17</xdr:row>
      <xdr:rowOff>165100</xdr:rowOff>
    </xdr:from>
    <xdr:to>
      <xdr:col>16</xdr:col>
      <xdr:colOff>254000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FF0698-EBEF-704D-9B60-714DFA97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17</xdr:row>
      <xdr:rowOff>6350</xdr:rowOff>
    </xdr:from>
    <xdr:to>
      <xdr:col>13</xdr:col>
      <xdr:colOff>355600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A5453-F931-0146-B0DA-47DA9131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273050</xdr:colOff>
      <xdr:row>16</xdr:row>
      <xdr:rowOff>152400</xdr:rowOff>
    </xdr:from>
    <xdr:to>
      <xdr:col>19</xdr:col>
      <xdr:colOff>584200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17DAB-4A38-B842-A40B-546286D05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D276-BD42-7F42-AA46-503412D3BF31}">
  <dimension ref="A1:AY83"/>
  <sheetViews>
    <sheetView topLeftCell="T1" zoomScale="92" zoomScaleNormal="92" workbookViewId="0">
      <selection activeCell="AG23" sqref="AG23"/>
    </sheetView>
  </sheetViews>
  <sheetFormatPr baseColWidth="10" defaultRowHeight="16" x14ac:dyDescent="0.2"/>
  <cols>
    <col min="13" max="13" width="31.5" bestFit="1" customWidth="1"/>
    <col min="16" max="16" width="16.5" bestFit="1" customWidth="1"/>
    <col min="17" max="17" width="13.1640625" bestFit="1" customWidth="1"/>
    <col min="18" max="18" width="11.1640625" bestFit="1" customWidth="1"/>
    <col min="20" max="20" width="23.33203125" customWidth="1"/>
    <col min="21" max="21" width="23" customWidth="1"/>
    <col min="25" max="25" width="32.83203125" bestFit="1" customWidth="1"/>
    <col min="26" max="26" width="11.33203125" bestFit="1" customWidth="1"/>
    <col min="28" max="28" width="17" customWidth="1"/>
    <col min="31" max="31" width="23" bestFit="1" customWidth="1"/>
  </cols>
  <sheetData>
    <row r="1" spans="1:33" x14ac:dyDescent="0.2">
      <c r="A1" s="1">
        <v>44465</v>
      </c>
    </row>
    <row r="2" spans="1:33" x14ac:dyDescent="0.2">
      <c r="M2" t="s">
        <v>8</v>
      </c>
      <c r="Y2" s="9" t="s">
        <v>49</v>
      </c>
    </row>
    <row r="3" spans="1:33" x14ac:dyDescent="0.2">
      <c r="C3" t="s">
        <v>8</v>
      </c>
      <c r="O3" t="s">
        <v>20</v>
      </c>
      <c r="P3" t="s">
        <v>21</v>
      </c>
      <c r="Q3" t="s">
        <v>22</v>
      </c>
      <c r="R3" t="s">
        <v>23</v>
      </c>
      <c r="U3" t="s">
        <v>24</v>
      </c>
      <c r="W3" t="s">
        <v>25</v>
      </c>
      <c r="Y3" s="12" t="s">
        <v>39</v>
      </c>
      <c r="Z3" s="8" t="s">
        <v>52</v>
      </c>
      <c r="AA3" s="3" t="s">
        <v>47</v>
      </c>
      <c r="AB3" s="3" t="s">
        <v>2</v>
      </c>
      <c r="AC3" s="3" t="s">
        <v>4</v>
      </c>
      <c r="AD3" s="3" t="s">
        <v>3</v>
      </c>
      <c r="AE3" s="3" t="s">
        <v>1</v>
      </c>
      <c r="AF3" s="15" t="s">
        <v>114</v>
      </c>
      <c r="AG3" s="8" t="s">
        <v>57</v>
      </c>
    </row>
    <row r="4" spans="1:33" x14ac:dyDescent="0.2">
      <c r="D4" t="s">
        <v>0</v>
      </c>
      <c r="E4" t="s">
        <v>2</v>
      </c>
      <c r="F4" t="s">
        <v>4</v>
      </c>
      <c r="G4" t="s">
        <v>3</v>
      </c>
      <c r="H4" t="s">
        <v>1</v>
      </c>
      <c r="M4" t="s">
        <v>11</v>
      </c>
      <c r="N4">
        <v>640541</v>
      </c>
      <c r="Y4" s="28" t="s">
        <v>40</v>
      </c>
      <c r="Z4" s="29" t="s">
        <v>53</v>
      </c>
      <c r="AA4" s="10">
        <v>1</v>
      </c>
      <c r="AB4" s="10">
        <v>8.7899999999999991</v>
      </c>
      <c r="AC4" s="10">
        <v>0</v>
      </c>
      <c r="AD4" s="10">
        <v>15.77</v>
      </c>
      <c r="AE4" s="10"/>
      <c r="AG4" s="3"/>
    </row>
    <row r="5" spans="1:33" x14ac:dyDescent="0.2">
      <c r="C5" t="s">
        <v>5</v>
      </c>
      <c r="D5">
        <v>217.49</v>
      </c>
      <c r="E5">
        <v>8.7200000000000006</v>
      </c>
      <c r="F5">
        <v>7.14</v>
      </c>
      <c r="G5">
        <v>197.34</v>
      </c>
      <c r="H5">
        <v>2.8</v>
      </c>
      <c r="M5" t="s">
        <v>12</v>
      </c>
      <c r="N5">
        <v>1450163</v>
      </c>
      <c r="O5">
        <v>16</v>
      </c>
      <c r="P5">
        <f>N5*O5</f>
        <v>23202608</v>
      </c>
      <c r="Q5">
        <f>P5/(10^9)</f>
        <v>2.3202608E-2</v>
      </c>
      <c r="R5">
        <f>P5/(10^6)</f>
        <v>23.202608000000001</v>
      </c>
      <c r="S5" t="s">
        <v>13</v>
      </c>
      <c r="T5">
        <v>167772160</v>
      </c>
      <c r="U5">
        <f>T5*O5/(10^9)</f>
        <v>2.6843545600000001</v>
      </c>
      <c r="W5">
        <f>Q5*10</f>
        <v>0.23202608</v>
      </c>
      <c r="Y5" s="28"/>
      <c r="Z5" s="30"/>
      <c r="AA5" s="10">
        <v>2</v>
      </c>
      <c r="AB5" s="10">
        <v>8.84</v>
      </c>
      <c r="AC5" s="10">
        <v>0</v>
      </c>
      <c r="AD5" s="10">
        <v>15.71</v>
      </c>
      <c r="AE5" s="10"/>
      <c r="AG5" s="3"/>
    </row>
    <row r="6" spans="1:33" x14ac:dyDescent="0.2">
      <c r="C6" t="s">
        <v>6</v>
      </c>
      <c r="D6">
        <v>218.58</v>
      </c>
      <c r="E6">
        <v>8.77</v>
      </c>
      <c r="F6">
        <v>7.29</v>
      </c>
      <c r="G6" s="2">
        <v>198.25</v>
      </c>
      <c r="H6">
        <v>2.8</v>
      </c>
      <c r="M6" t="s">
        <v>14</v>
      </c>
      <c r="N6">
        <v>2181173</v>
      </c>
      <c r="O6">
        <v>2056</v>
      </c>
      <c r="P6">
        <f t="shared" ref="P6:P8" si="0">N6*O6</f>
        <v>4484491688</v>
      </c>
      <c r="Q6">
        <f t="shared" ref="Q6:Q8" si="1">P6/(10^9)</f>
        <v>4.4844916880000003</v>
      </c>
      <c r="R6">
        <f t="shared" ref="R6:R7" si="2">P6/(10^6)</f>
        <v>4484.4916880000001</v>
      </c>
      <c r="S6" t="s">
        <v>15</v>
      </c>
      <c r="T6">
        <v>5222479</v>
      </c>
      <c r="U6">
        <f t="shared" ref="U6:U8" si="3">T6*O6/(10^9)</f>
        <v>10.737416824</v>
      </c>
      <c r="W6">
        <f t="shared" ref="W6:W8" si="4">Q6*10</f>
        <v>44.84491688</v>
      </c>
      <c r="Y6" s="28"/>
      <c r="Z6" s="30"/>
      <c r="AA6" s="10">
        <v>3</v>
      </c>
      <c r="AB6" s="10">
        <v>8.76</v>
      </c>
      <c r="AC6" s="10">
        <v>0</v>
      </c>
      <c r="AD6" s="10">
        <v>15.84</v>
      </c>
      <c r="AE6" s="10"/>
      <c r="AG6" s="3"/>
    </row>
    <row r="7" spans="1:33" x14ac:dyDescent="0.2">
      <c r="C7" t="s">
        <v>7</v>
      </c>
      <c r="D7">
        <v>217.35</v>
      </c>
      <c r="E7">
        <v>8.81</v>
      </c>
      <c r="F7">
        <v>7.29</v>
      </c>
      <c r="G7">
        <v>196.95</v>
      </c>
      <c r="H7">
        <v>2.8</v>
      </c>
      <c r="M7" t="s">
        <v>16</v>
      </c>
      <c r="N7">
        <v>102156493</v>
      </c>
      <c r="O7">
        <v>16</v>
      </c>
      <c r="P7">
        <f t="shared" si="0"/>
        <v>1634503888</v>
      </c>
      <c r="Q7">
        <f t="shared" si="1"/>
        <v>1.634503888</v>
      </c>
      <c r="R7">
        <f t="shared" si="2"/>
        <v>1634.503888</v>
      </c>
      <c r="S7" t="s">
        <v>17</v>
      </c>
      <c r="T7">
        <v>167772160</v>
      </c>
      <c r="U7">
        <f t="shared" si="3"/>
        <v>2.6843545600000001</v>
      </c>
      <c r="W7">
        <f t="shared" si="4"/>
        <v>16.345038880000001</v>
      </c>
      <c r="Y7" s="28"/>
      <c r="Z7" s="30"/>
      <c r="AA7" s="10">
        <v>4</v>
      </c>
      <c r="AB7" s="10">
        <v>8.73</v>
      </c>
      <c r="AC7" s="10">
        <v>0</v>
      </c>
      <c r="AD7" s="10">
        <v>15.87</v>
      </c>
      <c r="AE7" s="10" t="s">
        <v>50</v>
      </c>
      <c r="AG7" s="3"/>
    </row>
    <row r="8" spans="1:33" x14ac:dyDescent="0.2">
      <c r="C8" t="s">
        <v>10</v>
      </c>
      <c r="D8">
        <v>217.51</v>
      </c>
      <c r="E8">
        <v>8.7200000000000006</v>
      </c>
      <c r="F8">
        <v>7.29</v>
      </c>
      <c r="G8">
        <v>197.18</v>
      </c>
      <c r="H8">
        <v>2.8</v>
      </c>
      <c r="M8" t="s">
        <v>18</v>
      </c>
      <c r="N8">
        <v>15918690</v>
      </c>
      <c r="O8">
        <v>1</v>
      </c>
      <c r="P8">
        <f t="shared" si="0"/>
        <v>15918690</v>
      </c>
      <c r="Q8">
        <f t="shared" si="1"/>
        <v>1.5918689999999999E-2</v>
      </c>
      <c r="R8">
        <f>P8/(10^6)</f>
        <v>15.91869</v>
      </c>
      <c r="S8" t="s">
        <v>19</v>
      </c>
      <c r="T8">
        <v>1375731712</v>
      </c>
      <c r="U8">
        <f t="shared" si="3"/>
        <v>1.3757317120000001</v>
      </c>
      <c r="W8">
        <f t="shared" si="4"/>
        <v>0.15918689999999999</v>
      </c>
      <c r="Y8" s="28"/>
      <c r="Z8" s="31"/>
      <c r="AA8" s="10" t="s">
        <v>48</v>
      </c>
      <c r="AB8" s="10">
        <f>AVERAGE(AB4:AB7)</f>
        <v>8.7800000000000011</v>
      </c>
      <c r="AC8" s="10">
        <f t="shared" ref="AC8:AD8" si="5">AVERAGE(AC4:AC7)</f>
        <v>0</v>
      </c>
      <c r="AD8" s="14">
        <f t="shared" si="5"/>
        <v>15.797499999999999</v>
      </c>
      <c r="AE8" s="10"/>
      <c r="AG8" s="3">
        <f>SUM(AB8:AE8)</f>
        <v>24.577500000000001</v>
      </c>
    </row>
    <row r="9" spans="1:33" x14ac:dyDescent="0.2">
      <c r="C9">
        <v>5</v>
      </c>
      <c r="D9">
        <v>218.14</v>
      </c>
      <c r="E9">
        <v>8.7799999999999994</v>
      </c>
      <c r="F9">
        <v>7.27</v>
      </c>
      <c r="G9">
        <v>197.82</v>
      </c>
      <c r="H9">
        <v>2.8</v>
      </c>
      <c r="Y9" s="28"/>
      <c r="Z9" s="32" t="s">
        <v>54</v>
      </c>
      <c r="AA9" s="13">
        <v>1</v>
      </c>
      <c r="AB9" s="13">
        <v>69.069999999999993</v>
      </c>
      <c r="AC9" s="13">
        <v>0</v>
      </c>
      <c r="AD9" s="13">
        <v>118.83</v>
      </c>
      <c r="AE9" s="13"/>
      <c r="AG9" s="3"/>
    </row>
    <row r="10" spans="1:33" x14ac:dyDescent="0.2">
      <c r="Y10" s="28"/>
      <c r="Z10" s="33"/>
      <c r="AA10" s="13">
        <v>2</v>
      </c>
      <c r="AB10" s="13">
        <v>69.62</v>
      </c>
      <c r="AC10" s="13">
        <v>0</v>
      </c>
      <c r="AD10" s="13">
        <v>118.36</v>
      </c>
      <c r="AE10" s="13"/>
      <c r="AG10" s="3"/>
    </row>
    <row r="11" spans="1:33" x14ac:dyDescent="0.2">
      <c r="C11" t="s">
        <v>9</v>
      </c>
      <c r="Y11" s="28"/>
      <c r="Z11" s="33"/>
      <c r="AA11" s="13">
        <v>3</v>
      </c>
      <c r="AB11" s="13">
        <v>69.39</v>
      </c>
      <c r="AC11" s="13">
        <v>0</v>
      </c>
      <c r="AD11" s="13">
        <v>120.32</v>
      </c>
      <c r="AE11" s="13"/>
      <c r="AG11" s="3"/>
    </row>
    <row r="12" spans="1:33" x14ac:dyDescent="0.2">
      <c r="D12" t="s">
        <v>0</v>
      </c>
      <c r="E12" t="s">
        <v>2</v>
      </c>
      <c r="F12" t="s">
        <v>4</v>
      </c>
      <c r="G12" t="s">
        <v>3</v>
      </c>
      <c r="H12" t="s">
        <v>1</v>
      </c>
      <c r="Y12" s="28"/>
      <c r="Z12" s="33"/>
      <c r="AA12" s="13">
        <v>4</v>
      </c>
      <c r="AB12" s="13">
        <v>69.489999999999995</v>
      </c>
      <c r="AC12" s="13">
        <v>0</v>
      </c>
      <c r="AD12" s="13">
        <v>118.53</v>
      </c>
      <c r="AE12" s="13" t="s">
        <v>50</v>
      </c>
      <c r="AG12" s="3"/>
    </row>
    <row r="13" spans="1:33" x14ac:dyDescent="0.2">
      <c r="C13" t="s">
        <v>5</v>
      </c>
      <c r="D13">
        <v>1554.42</v>
      </c>
      <c r="E13">
        <v>68.41</v>
      </c>
      <c r="F13">
        <v>22.39</v>
      </c>
      <c r="G13">
        <v>1435.13</v>
      </c>
      <c r="H13">
        <v>16.75</v>
      </c>
      <c r="Y13" s="28"/>
      <c r="Z13" s="34"/>
      <c r="AA13" s="13" t="s">
        <v>48</v>
      </c>
      <c r="AB13" s="13">
        <f>AVERAGE(AB9:AB12)</f>
        <v>69.392499999999998</v>
      </c>
      <c r="AC13" s="13">
        <f>AVERAGE(AC9:AC12)</f>
        <v>0</v>
      </c>
      <c r="AD13" s="13">
        <f>AVERAGE(AD9:AD12)</f>
        <v>119.00999999999999</v>
      </c>
      <c r="AE13" s="13"/>
      <c r="AG13" s="3">
        <f>SUM(AB13:AE13)</f>
        <v>188.40249999999997</v>
      </c>
    </row>
    <row r="14" spans="1:33" x14ac:dyDescent="0.2">
      <c r="C14" t="s">
        <v>6</v>
      </c>
      <c r="Y14" s="28" t="s">
        <v>45</v>
      </c>
      <c r="Z14" s="29" t="s">
        <v>53</v>
      </c>
      <c r="AA14" s="10">
        <v>1</v>
      </c>
      <c r="AB14" s="10">
        <v>8.77</v>
      </c>
      <c r="AC14" s="10">
        <v>3.76</v>
      </c>
      <c r="AD14" s="10">
        <v>23.64</v>
      </c>
      <c r="AE14" s="10">
        <v>2.09</v>
      </c>
      <c r="AG14" s="3"/>
    </row>
    <row r="15" spans="1:33" x14ac:dyDescent="0.2">
      <c r="C15" t="s">
        <v>7</v>
      </c>
      <c r="M15" t="s">
        <v>56</v>
      </c>
      <c r="Y15" s="28"/>
      <c r="Z15" s="30"/>
      <c r="AA15" s="10">
        <v>2</v>
      </c>
      <c r="AB15" s="10">
        <v>8.7100000000000009</v>
      </c>
      <c r="AC15" s="10">
        <v>3.78</v>
      </c>
      <c r="AD15" s="10">
        <v>23.75</v>
      </c>
      <c r="AE15" s="10">
        <v>2.1</v>
      </c>
      <c r="AG15" s="3"/>
    </row>
    <row r="16" spans="1:33" x14ac:dyDescent="0.2">
      <c r="M16" t="s">
        <v>55</v>
      </c>
      <c r="Y16" s="28"/>
      <c r="Z16" s="30"/>
      <c r="AA16" s="10">
        <v>3</v>
      </c>
      <c r="AB16" s="10">
        <v>8.8000000000000007</v>
      </c>
      <c r="AC16" s="10">
        <v>3.79</v>
      </c>
      <c r="AD16" s="10">
        <v>23.82</v>
      </c>
      <c r="AE16" s="10">
        <v>2.1</v>
      </c>
      <c r="AG16" s="3"/>
    </row>
    <row r="17" spans="13:33" x14ac:dyDescent="0.2">
      <c r="M17" t="s">
        <v>26</v>
      </c>
      <c r="Y17" s="28"/>
      <c r="Z17" s="30"/>
      <c r="AA17" s="10">
        <v>4</v>
      </c>
      <c r="AB17" s="10">
        <v>8.81</v>
      </c>
      <c r="AC17" s="10">
        <v>3.8</v>
      </c>
      <c r="AD17" s="10">
        <v>23.81</v>
      </c>
      <c r="AE17" s="10">
        <v>2.11</v>
      </c>
      <c r="AG17" s="3"/>
    </row>
    <row r="18" spans="13:33" x14ac:dyDescent="0.2">
      <c r="M18" s="3"/>
      <c r="N18" s="3" t="s">
        <v>29</v>
      </c>
      <c r="O18" s="3" t="s">
        <v>20</v>
      </c>
      <c r="P18" s="3" t="s">
        <v>22</v>
      </c>
      <c r="Q18" s="8" t="s">
        <v>36</v>
      </c>
      <c r="Y18" s="28"/>
      <c r="Z18" s="31"/>
      <c r="AA18" s="10" t="s">
        <v>48</v>
      </c>
      <c r="AB18" s="10">
        <f>AVERAGE(AB14:AB17)</f>
        <v>8.7725000000000009</v>
      </c>
      <c r="AC18" s="10">
        <f t="shared" ref="AC18" si="6">AVERAGE(AC14:AC17)</f>
        <v>3.7824999999999998</v>
      </c>
      <c r="AD18" s="14">
        <f t="shared" ref="AD18" si="7">AVERAGE(AD14:AD17)</f>
        <v>23.755000000000003</v>
      </c>
      <c r="AE18" s="10">
        <f>AVERAGE(AE14:AE17)</f>
        <v>2.0999999999999996</v>
      </c>
      <c r="AG18" s="3">
        <f>SUM(AB18:AE18)</f>
        <v>38.410000000000004</v>
      </c>
    </row>
    <row r="19" spans="13:33" x14ac:dyDescent="0.2">
      <c r="M19" s="3" t="s">
        <v>11</v>
      </c>
      <c r="N19" s="3">
        <v>5000000</v>
      </c>
      <c r="O19" s="3"/>
      <c r="P19" s="3">
        <v>2</v>
      </c>
      <c r="Q19" s="3" t="s">
        <v>38</v>
      </c>
      <c r="Y19" s="28"/>
      <c r="Z19" s="32" t="s">
        <v>54</v>
      </c>
      <c r="AA19" s="13">
        <v>1</v>
      </c>
      <c r="AB19" s="13">
        <v>69.28</v>
      </c>
      <c r="AC19" s="13">
        <v>16.399999999999999</v>
      </c>
      <c r="AD19" s="13">
        <v>180.72</v>
      </c>
      <c r="AE19" s="13">
        <v>11.26</v>
      </c>
      <c r="AG19" s="3"/>
    </row>
    <row r="20" spans="13:33" x14ac:dyDescent="0.2">
      <c r="M20" s="3" t="s">
        <v>12</v>
      </c>
      <c r="N20" s="3">
        <v>5986957</v>
      </c>
      <c r="O20" s="3">
        <v>16</v>
      </c>
      <c r="P20" s="4">
        <f>N20*O20/(10^9)</f>
        <v>9.5791312000000003E-2</v>
      </c>
      <c r="Q20" s="3">
        <v>1</v>
      </c>
      <c r="Y20" s="28"/>
      <c r="Z20" s="33"/>
      <c r="AA20" s="13">
        <v>2</v>
      </c>
      <c r="AB20" s="13">
        <v>69.349999999999994</v>
      </c>
      <c r="AC20" s="13">
        <v>16.440000000000001</v>
      </c>
      <c r="AD20" s="13">
        <v>180.55</v>
      </c>
      <c r="AE20" s="13">
        <v>11.26</v>
      </c>
      <c r="AG20" s="3"/>
    </row>
    <row r="21" spans="13:33" x14ac:dyDescent="0.2">
      <c r="M21" s="3" t="s">
        <v>14</v>
      </c>
      <c r="N21" s="3">
        <v>11746413</v>
      </c>
      <c r="O21" s="3">
        <v>2056</v>
      </c>
      <c r="P21" s="4">
        <f t="shared" ref="P21:P23" si="8">N21*O21/(10^9)</f>
        <v>24.150625128000001</v>
      </c>
      <c r="Q21" s="3">
        <v>25</v>
      </c>
      <c r="Y21" s="28"/>
      <c r="Z21" s="33"/>
      <c r="AA21" s="13">
        <v>3</v>
      </c>
      <c r="AB21" s="13">
        <v>69.430000000000007</v>
      </c>
      <c r="AC21" s="13">
        <v>16.45</v>
      </c>
      <c r="AD21" s="13">
        <v>180.51</v>
      </c>
      <c r="AE21" s="13">
        <v>11.26</v>
      </c>
      <c r="AG21" s="3"/>
    </row>
    <row r="22" spans="13:33" x14ac:dyDescent="0.2">
      <c r="M22" s="3" t="s">
        <v>28</v>
      </c>
      <c r="N22" s="3">
        <v>770839982</v>
      </c>
      <c r="O22" s="3">
        <v>16</v>
      </c>
      <c r="P22" s="4">
        <f t="shared" si="8"/>
        <v>12.333439712000001</v>
      </c>
      <c r="Q22" s="3">
        <v>15</v>
      </c>
      <c r="Y22" s="28"/>
      <c r="Z22" s="33"/>
      <c r="AA22" s="13">
        <v>4</v>
      </c>
      <c r="AB22" s="13">
        <v>69.180000000000007</v>
      </c>
      <c r="AC22" s="13">
        <v>16.34</v>
      </c>
      <c r="AD22" s="13">
        <v>180.03</v>
      </c>
      <c r="AE22" s="13">
        <v>11.26</v>
      </c>
      <c r="AG22" s="3"/>
    </row>
    <row r="23" spans="13:33" x14ac:dyDescent="0.2">
      <c r="M23" s="3" t="s">
        <v>27</v>
      </c>
      <c r="N23" s="3">
        <v>66535948</v>
      </c>
      <c r="O23" s="3">
        <v>1</v>
      </c>
      <c r="P23" s="4">
        <f t="shared" si="8"/>
        <v>6.6535947999999998E-2</v>
      </c>
      <c r="Q23" s="3">
        <v>1</v>
      </c>
      <c r="Y23" s="28"/>
      <c r="Z23" s="34"/>
      <c r="AA23" s="13" t="s">
        <v>48</v>
      </c>
      <c r="AB23" s="13">
        <f>AVERAGE(AB19:AB22)</f>
        <v>69.31</v>
      </c>
      <c r="AC23" s="13">
        <f>AVERAGE(AC19:AC22)</f>
        <v>16.407500000000002</v>
      </c>
      <c r="AD23" s="13">
        <f>AVERAGE(AD19:AD22)</f>
        <v>180.45249999999999</v>
      </c>
      <c r="AE23" s="13">
        <f>AVERAGE(AE19:AE22)</f>
        <v>11.26</v>
      </c>
      <c r="AG23" s="3">
        <f>SUM(AB23:AE23)</f>
        <v>277.42999999999995</v>
      </c>
    </row>
    <row r="24" spans="13:33" x14ac:dyDescent="0.2">
      <c r="U24" t="s">
        <v>41</v>
      </c>
      <c r="Y24" s="28" t="s">
        <v>58</v>
      </c>
      <c r="Z24" s="29" t="s">
        <v>53</v>
      </c>
      <c r="AA24" s="10">
        <v>1</v>
      </c>
      <c r="AB24" s="10">
        <v>8.7799999999999994</v>
      </c>
      <c r="AC24" s="10">
        <v>3.79</v>
      </c>
      <c r="AD24" s="10">
        <v>195.05</v>
      </c>
      <c r="AE24" s="10">
        <v>2.06</v>
      </c>
      <c r="AG24" s="3"/>
    </row>
    <row r="25" spans="13:33" x14ac:dyDescent="0.2">
      <c r="M25" t="s">
        <v>37</v>
      </c>
      <c r="U25" t="s">
        <v>46</v>
      </c>
      <c r="Y25" s="28"/>
      <c r="Z25" s="30"/>
      <c r="AA25" s="10">
        <v>2</v>
      </c>
      <c r="AB25" s="10">
        <v>8.69</v>
      </c>
      <c r="AC25" s="10">
        <v>3.8</v>
      </c>
      <c r="AD25" s="10">
        <v>195.06</v>
      </c>
      <c r="AE25" s="10">
        <v>2.06</v>
      </c>
      <c r="AG25" s="3"/>
    </row>
    <row r="26" spans="13:33" x14ac:dyDescent="0.2">
      <c r="M26" s="3"/>
      <c r="N26" s="3" t="s">
        <v>29</v>
      </c>
      <c r="O26" s="3" t="s">
        <v>20</v>
      </c>
      <c r="P26" s="3" t="s">
        <v>22</v>
      </c>
      <c r="Q26" s="8" t="s">
        <v>36</v>
      </c>
      <c r="U26" t="s">
        <v>45</v>
      </c>
      <c r="W26" t="s">
        <v>51</v>
      </c>
      <c r="Y26" s="28"/>
      <c r="Z26" s="30"/>
      <c r="AA26" s="10">
        <v>3</v>
      </c>
      <c r="AB26" s="10">
        <v>8.8000000000000007</v>
      </c>
      <c r="AC26" s="10">
        <v>3.8</v>
      </c>
      <c r="AD26" s="10">
        <v>195.15</v>
      </c>
      <c r="AE26" s="10">
        <v>2.06</v>
      </c>
      <c r="AG26" s="3"/>
    </row>
    <row r="27" spans="13:33" x14ac:dyDescent="0.2">
      <c r="M27" s="3" t="s">
        <v>11</v>
      </c>
      <c r="N27" s="3">
        <v>640542</v>
      </c>
      <c r="O27" s="3"/>
      <c r="P27" s="3">
        <v>20</v>
      </c>
      <c r="Q27" s="3" t="s">
        <v>38</v>
      </c>
      <c r="U27" t="s">
        <v>43</v>
      </c>
      <c r="Y27" s="28"/>
      <c r="Z27" s="30"/>
      <c r="AA27" s="10">
        <v>4</v>
      </c>
      <c r="AB27" s="10">
        <v>8.82</v>
      </c>
      <c r="AC27" s="10">
        <v>3.79</v>
      </c>
      <c r="AD27" s="10">
        <v>194.85</v>
      </c>
      <c r="AE27" s="10">
        <v>2.06</v>
      </c>
      <c r="AG27" s="3"/>
    </row>
    <row r="28" spans="13:33" x14ac:dyDescent="0.2">
      <c r="M28" s="3" t="s">
        <v>12</v>
      </c>
      <c r="N28" s="3">
        <v>1450163</v>
      </c>
      <c r="O28" s="3">
        <v>16</v>
      </c>
      <c r="P28" s="4">
        <f>N28*O28/(10^9)</f>
        <v>2.3202608E-2</v>
      </c>
      <c r="Q28" s="3">
        <v>1</v>
      </c>
      <c r="R28">
        <f>P28*1000</f>
        <v>23.202607999999998</v>
      </c>
      <c r="U28" t="s">
        <v>44</v>
      </c>
      <c r="Y28" s="28"/>
      <c r="Z28" s="31"/>
      <c r="AA28" s="10" t="s">
        <v>48</v>
      </c>
      <c r="AB28" s="10">
        <f>AVERAGE(AB24:AB27)</f>
        <v>8.7725000000000009</v>
      </c>
      <c r="AC28" s="10">
        <f t="shared" ref="AC28" si="9">AVERAGE(AC24:AC27)</f>
        <v>3.7949999999999999</v>
      </c>
      <c r="AD28" s="14">
        <f t="shared" ref="AD28" si="10">AVERAGE(AD24:AD27)</f>
        <v>195.0275</v>
      </c>
      <c r="AE28" s="10">
        <f>AVERAGE(AE24:AE27)</f>
        <v>2.06</v>
      </c>
      <c r="AG28" s="3">
        <f>SUM(AB28:AE28)</f>
        <v>209.655</v>
      </c>
    </row>
    <row r="29" spans="13:33" x14ac:dyDescent="0.2">
      <c r="M29" s="3" t="s">
        <v>14</v>
      </c>
      <c r="N29" s="3">
        <v>2181173</v>
      </c>
      <c r="O29" s="3">
        <v>2056</v>
      </c>
      <c r="P29" s="4">
        <f t="shared" ref="P29:P31" si="11">N29*O29/(10^9)</f>
        <v>4.4844916880000003</v>
      </c>
      <c r="Q29" s="3">
        <v>5</v>
      </c>
      <c r="Y29" s="28"/>
      <c r="Z29" s="32" t="s">
        <v>54</v>
      </c>
      <c r="AA29" s="13">
        <v>1</v>
      </c>
      <c r="AB29" s="13">
        <v>68.349999999999994</v>
      </c>
      <c r="AC29" s="13">
        <v>16.399999999999999</v>
      </c>
      <c r="AD29" s="13">
        <v>1415.75</v>
      </c>
      <c r="AE29" s="13">
        <v>11.04</v>
      </c>
      <c r="AG29" s="3"/>
    </row>
    <row r="30" spans="13:33" x14ac:dyDescent="0.2">
      <c r="M30" s="3" t="s">
        <v>28</v>
      </c>
      <c r="N30" s="3">
        <v>102156493</v>
      </c>
      <c r="O30" s="3">
        <v>16</v>
      </c>
      <c r="P30" s="4">
        <f t="shared" si="11"/>
        <v>1.634503888</v>
      </c>
      <c r="Q30" s="3">
        <v>2</v>
      </c>
      <c r="Y30" s="28"/>
      <c r="Z30" s="33"/>
      <c r="AA30" s="13">
        <v>2</v>
      </c>
      <c r="AB30" s="13">
        <v>69.38</v>
      </c>
      <c r="AC30" s="13">
        <v>16.48</v>
      </c>
      <c r="AD30" s="13">
        <v>1412.05</v>
      </c>
      <c r="AE30" s="13">
        <v>11.08</v>
      </c>
      <c r="AG30" s="3"/>
    </row>
    <row r="31" spans="13:33" x14ac:dyDescent="0.2">
      <c r="M31" s="3" t="s">
        <v>27</v>
      </c>
      <c r="N31" s="3">
        <v>15018690</v>
      </c>
      <c r="O31" s="3">
        <v>1</v>
      </c>
      <c r="P31" s="4">
        <f t="shared" si="11"/>
        <v>1.5018689999999999E-2</v>
      </c>
      <c r="Q31" s="3">
        <v>1</v>
      </c>
      <c r="Y31" s="28"/>
      <c r="Z31" s="33"/>
      <c r="AA31" s="13">
        <v>3</v>
      </c>
      <c r="AB31" s="13">
        <v>69.56</v>
      </c>
      <c r="AC31" s="13">
        <v>16.39</v>
      </c>
      <c r="AD31" s="13">
        <v>1420.06</v>
      </c>
      <c r="AE31" s="13">
        <v>11.08</v>
      </c>
      <c r="AG31" s="3"/>
    </row>
    <row r="32" spans="13:33" x14ac:dyDescent="0.2">
      <c r="Y32" s="28"/>
      <c r="Z32" s="33"/>
      <c r="AA32" s="13">
        <v>4</v>
      </c>
      <c r="AB32" s="13">
        <v>68.930000000000007</v>
      </c>
      <c r="AC32" s="13">
        <v>16.39</v>
      </c>
      <c r="AD32" s="13">
        <v>1415.04</v>
      </c>
      <c r="AE32" s="13">
        <v>11.08</v>
      </c>
      <c r="AG32" s="3"/>
    </row>
    <row r="33" spans="13:33" x14ac:dyDescent="0.2">
      <c r="M33" t="s">
        <v>39</v>
      </c>
      <c r="T33">
        <v>770839982</v>
      </c>
      <c r="Y33" s="28"/>
      <c r="Z33" s="34"/>
      <c r="AA33" s="13" t="s">
        <v>48</v>
      </c>
      <c r="AB33" s="13">
        <f>AVERAGE(AB29:AB32)</f>
        <v>69.055000000000007</v>
      </c>
      <c r="AC33" s="13">
        <f>AVERAGE(AC29:AC32)</f>
        <v>16.414999999999999</v>
      </c>
      <c r="AD33" s="13">
        <f>AVERAGE(AD29:AD32)</f>
        <v>1415.7250000000001</v>
      </c>
      <c r="AE33" s="13">
        <f>AVERAGE(AE29:AE32)</f>
        <v>11.069999999999999</v>
      </c>
      <c r="AG33" s="3">
        <f>SUM(AB33:AE33)</f>
        <v>1512.2650000000001</v>
      </c>
    </row>
    <row r="34" spans="13:33" ht="18" x14ac:dyDescent="0.2">
      <c r="M34" t="s">
        <v>42</v>
      </c>
      <c r="N34" s="6">
        <v>15.93</v>
      </c>
      <c r="T34" s="2">
        <v>26843545600</v>
      </c>
      <c r="Y34" s="28" t="s">
        <v>59</v>
      </c>
      <c r="Z34" s="29" t="s">
        <v>53</v>
      </c>
      <c r="AA34" s="10">
        <v>1</v>
      </c>
      <c r="AB34" s="10">
        <v>6.93</v>
      </c>
      <c r="AC34" s="10">
        <v>3.78</v>
      </c>
      <c r="AD34" s="10">
        <v>186.69</v>
      </c>
      <c r="AE34" s="10">
        <v>2.06</v>
      </c>
      <c r="AG34" s="3"/>
    </row>
    <row r="35" spans="13:33" x14ac:dyDescent="0.2">
      <c r="M35" t="s">
        <v>41</v>
      </c>
      <c r="N35">
        <v>188.89</v>
      </c>
      <c r="T35">
        <f>T34/T33</f>
        <v>34.823758791484174</v>
      </c>
      <c r="W35" t="s">
        <v>51</v>
      </c>
      <c r="Y35" s="28"/>
      <c r="Z35" s="30"/>
      <c r="AA35" s="10">
        <v>2</v>
      </c>
      <c r="AB35" s="10">
        <v>6.82</v>
      </c>
      <c r="AC35" s="10">
        <v>3.78</v>
      </c>
      <c r="AD35" s="10">
        <v>182.54</v>
      </c>
      <c r="AE35" s="10">
        <v>2.0499999999999998</v>
      </c>
      <c r="AG35" s="3"/>
    </row>
    <row r="36" spans="13:33" x14ac:dyDescent="0.2">
      <c r="M36" t="s">
        <v>46</v>
      </c>
      <c r="R36" t="s">
        <v>60</v>
      </c>
      <c r="T36" s="21">
        <v>21474836480</v>
      </c>
      <c r="Y36" s="28"/>
      <c r="Z36" s="30"/>
      <c r="AA36" s="10">
        <v>3</v>
      </c>
      <c r="AB36" s="10">
        <v>6.89</v>
      </c>
      <c r="AC36" s="10">
        <v>3.79</v>
      </c>
      <c r="AD36" s="10">
        <v>183.69</v>
      </c>
      <c r="AE36" s="10">
        <v>2.0499999999999998</v>
      </c>
      <c r="AG36" s="3"/>
    </row>
    <row r="37" spans="13:33" x14ac:dyDescent="0.2">
      <c r="M37" t="s">
        <v>45</v>
      </c>
      <c r="N37" s="3">
        <v>51.41</v>
      </c>
      <c r="P37" t="s">
        <v>61</v>
      </c>
      <c r="Q37">
        <f>N28*64 + N31</f>
        <v>107829122</v>
      </c>
      <c r="R37">
        <f>Q37/(10^9)</f>
        <v>0.107829122</v>
      </c>
      <c r="T37">
        <f>T34/T36</f>
        <v>1.25</v>
      </c>
      <c r="Y37" s="28"/>
      <c r="Z37" s="30"/>
      <c r="AA37" s="10">
        <v>4</v>
      </c>
      <c r="AB37" s="10">
        <v>6.85</v>
      </c>
      <c r="AC37" s="10">
        <v>3.79</v>
      </c>
      <c r="AD37" s="10">
        <v>183.4</v>
      </c>
      <c r="AE37" s="10">
        <v>2.0499999999999998</v>
      </c>
      <c r="AG37" s="3"/>
    </row>
    <row r="38" spans="13:33" x14ac:dyDescent="0.2">
      <c r="M38" t="s">
        <v>43</v>
      </c>
      <c r="N38" s="3">
        <v>197.34</v>
      </c>
      <c r="P38" t="s">
        <v>62</v>
      </c>
      <c r="Q38">
        <f>N23+N20*64</f>
        <v>449701196</v>
      </c>
      <c r="R38">
        <f>Q38/(10^9)</f>
        <v>0.44970119600000003</v>
      </c>
      <c r="Y38" s="28"/>
      <c r="Z38" s="31"/>
      <c r="AA38" s="10" t="s">
        <v>48</v>
      </c>
      <c r="AB38" s="10">
        <f>AVERAGE(AB34:AB37)</f>
        <v>6.8725000000000005</v>
      </c>
      <c r="AC38" s="10">
        <f t="shared" ref="AC38" si="12">AVERAGE(AC34:AC37)</f>
        <v>3.7850000000000001</v>
      </c>
      <c r="AD38" s="14">
        <f t="shared" ref="AD38" si="13">AVERAGE(AD34:AD37)</f>
        <v>184.08</v>
      </c>
      <c r="AE38" s="10">
        <f>AVERAGE(AE34:AE37)</f>
        <v>2.0524999999999998</v>
      </c>
      <c r="AG38" s="3">
        <f>SUM(AB38:AE38)</f>
        <v>196.79000000000002</v>
      </c>
    </row>
    <row r="39" spans="13:33" x14ac:dyDescent="0.2">
      <c r="M39" t="s">
        <v>44</v>
      </c>
      <c r="N39">
        <v>196.46</v>
      </c>
      <c r="Y39" s="28"/>
      <c r="Z39" s="32" t="s">
        <v>54</v>
      </c>
      <c r="AA39" s="13">
        <v>1</v>
      </c>
      <c r="AB39" s="13">
        <v>54.14</v>
      </c>
      <c r="AC39" s="13">
        <v>16.309999999999999</v>
      </c>
      <c r="AD39" s="13">
        <v>1343.11</v>
      </c>
      <c r="AE39" s="13">
        <v>11.02</v>
      </c>
      <c r="AG39" s="3"/>
    </row>
    <row r="40" spans="13:33" x14ac:dyDescent="0.2">
      <c r="P40" t="s">
        <v>63</v>
      </c>
      <c r="Q40">
        <f>N27*50+17.18*10^6</f>
        <v>49207100</v>
      </c>
      <c r="R40">
        <f>Q40/10^9</f>
        <v>4.9207099999999997E-2</v>
      </c>
      <c r="Y40" s="28"/>
      <c r="Z40" s="33"/>
      <c r="AA40" s="13">
        <v>2</v>
      </c>
      <c r="AB40" s="13">
        <v>53.95</v>
      </c>
      <c r="AC40" s="13">
        <v>16.309999999999999</v>
      </c>
      <c r="AD40" s="13">
        <v>1340.54</v>
      </c>
      <c r="AE40" s="13">
        <v>11.02</v>
      </c>
      <c r="AG40" s="3"/>
    </row>
    <row r="41" spans="13:33" x14ac:dyDescent="0.2">
      <c r="P41" t="s">
        <v>64</v>
      </c>
      <c r="Q41">
        <f>N19*50+138.89*10^6</f>
        <v>388890000</v>
      </c>
      <c r="R41">
        <f>Q41/10^9</f>
        <v>0.38889000000000001</v>
      </c>
      <c r="Y41" s="28"/>
      <c r="Z41" s="33"/>
      <c r="AA41" s="13">
        <v>3</v>
      </c>
      <c r="AB41" s="13">
        <v>54.38</v>
      </c>
      <c r="AC41" s="13">
        <v>16.309999999999999</v>
      </c>
      <c r="AD41" s="13">
        <v>1340.05</v>
      </c>
      <c r="AE41" s="13">
        <v>11.02</v>
      </c>
      <c r="AG41" s="3"/>
    </row>
    <row r="42" spans="13:33" x14ac:dyDescent="0.2">
      <c r="R42" s="5"/>
      <c r="Y42" s="28"/>
      <c r="Z42" s="33"/>
      <c r="AA42" s="13">
        <v>4</v>
      </c>
      <c r="AB42" s="13">
        <v>54.34</v>
      </c>
      <c r="AC42" s="13">
        <v>16.309999999999999</v>
      </c>
      <c r="AD42" s="13">
        <v>1342.15</v>
      </c>
      <c r="AE42" s="13">
        <v>11.03</v>
      </c>
      <c r="AG42" s="3"/>
    </row>
    <row r="43" spans="13:33" x14ac:dyDescent="0.2">
      <c r="R43" s="5"/>
      <c r="Y43" s="28"/>
      <c r="Z43" s="34"/>
      <c r="AA43" s="13" t="s">
        <v>48</v>
      </c>
      <c r="AB43" s="13">
        <f>AVERAGE(AB39:AB42)</f>
        <v>54.202500000000001</v>
      </c>
      <c r="AC43" s="13">
        <f>AVERAGE(AC39:AC42)</f>
        <v>16.309999999999999</v>
      </c>
      <c r="AD43" s="13">
        <f>AVERAGE(AD39:AD42)</f>
        <v>1341.4625000000001</v>
      </c>
      <c r="AE43" s="13">
        <f>AVERAGE(AE39:AE42)</f>
        <v>11.022500000000001</v>
      </c>
      <c r="AG43" s="3">
        <f>SUM(AB43:AE43)</f>
        <v>1422.9975000000002</v>
      </c>
    </row>
    <row r="44" spans="13:33" x14ac:dyDescent="0.2">
      <c r="M44" s="3" t="s">
        <v>35</v>
      </c>
      <c r="N44" s="3" t="s">
        <v>30</v>
      </c>
      <c r="Y44" s="28" t="s">
        <v>113</v>
      </c>
      <c r="Z44" s="29" t="s">
        <v>53</v>
      </c>
      <c r="AA44" s="10">
        <v>1</v>
      </c>
      <c r="AB44" s="10"/>
      <c r="AC44" s="10"/>
      <c r="AD44" s="10"/>
      <c r="AE44" s="10"/>
      <c r="AG44" s="3"/>
    </row>
    <row r="45" spans="13:33" ht="18" x14ac:dyDescent="0.2">
      <c r="M45" s="3" t="s">
        <v>31</v>
      </c>
      <c r="N45" s="6">
        <v>15.93</v>
      </c>
      <c r="R45" s="5"/>
      <c r="Y45" s="28"/>
      <c r="Z45" s="30"/>
      <c r="AA45" s="10">
        <v>2</v>
      </c>
      <c r="AB45" s="10"/>
      <c r="AC45" s="10"/>
      <c r="AD45" s="10"/>
      <c r="AE45" s="10"/>
      <c r="AG45" s="3"/>
    </row>
    <row r="46" spans="13:33" x14ac:dyDescent="0.2">
      <c r="M46" s="3" t="s">
        <v>32</v>
      </c>
      <c r="N46" s="3">
        <v>51.41</v>
      </c>
      <c r="Y46" s="28"/>
      <c r="Z46" s="30"/>
      <c r="AA46" s="10">
        <v>3</v>
      </c>
      <c r="AB46" s="10"/>
      <c r="AC46" s="10"/>
      <c r="AD46" s="10"/>
      <c r="AE46" s="10"/>
      <c r="AG46" s="3"/>
    </row>
    <row r="47" spans="13:33" x14ac:dyDescent="0.2">
      <c r="M47" s="3" t="s">
        <v>33</v>
      </c>
      <c r="N47" s="3">
        <v>197.34</v>
      </c>
      <c r="Y47" s="28"/>
      <c r="Z47" s="30"/>
      <c r="AA47" s="10">
        <v>4</v>
      </c>
      <c r="AB47" s="10"/>
      <c r="AC47" s="10"/>
      <c r="AD47" s="10"/>
      <c r="AE47" s="10"/>
      <c r="AG47" s="3"/>
    </row>
    <row r="48" spans="13:33" x14ac:dyDescent="0.2">
      <c r="M48" s="3" t="s">
        <v>34</v>
      </c>
      <c r="N48" s="7">
        <v>188.89</v>
      </c>
      <c r="Y48" s="28"/>
      <c r="Z48" s="31"/>
      <c r="AA48" s="10" t="s">
        <v>48</v>
      </c>
      <c r="AB48" s="10" t="e">
        <f>AVERAGE(AB44:AB47)</f>
        <v>#DIV/0!</v>
      </c>
      <c r="AC48" s="10" t="e">
        <f t="shared" ref="AC48" si="14">AVERAGE(AC44:AC47)</f>
        <v>#DIV/0!</v>
      </c>
      <c r="AD48" s="14" t="e">
        <f t="shared" ref="AD48" si="15">AVERAGE(AD44:AD47)</f>
        <v>#DIV/0!</v>
      </c>
      <c r="AE48" s="10" t="e">
        <f>AVERAGE(AE44:AE47)</f>
        <v>#DIV/0!</v>
      </c>
      <c r="AG48" s="3" t="e">
        <f>SUM(AB48:AE48)</f>
        <v>#DIV/0!</v>
      </c>
    </row>
    <row r="49" spans="25:51" ht="18" x14ac:dyDescent="0.2">
      <c r="Y49" s="28"/>
      <c r="Z49" s="32" t="s">
        <v>54</v>
      </c>
      <c r="AA49" s="13">
        <v>1</v>
      </c>
      <c r="AB49" s="13">
        <v>68.349999999999994</v>
      </c>
      <c r="AC49" s="27">
        <v>16.440000000000001</v>
      </c>
      <c r="AD49" s="27">
        <v>182.61</v>
      </c>
      <c r="AE49" s="27">
        <v>11.23</v>
      </c>
      <c r="AF49" s="35">
        <v>62.33</v>
      </c>
      <c r="AG49" s="3">
        <f>SUM(AB49:AF49)</f>
        <v>340.96</v>
      </c>
    </row>
    <row r="50" spans="25:51" x14ac:dyDescent="0.2">
      <c r="Y50" s="28"/>
      <c r="Z50" s="33"/>
      <c r="AA50" s="13">
        <v>2</v>
      </c>
      <c r="AB50" s="13"/>
      <c r="AC50" s="13"/>
      <c r="AD50" s="13"/>
      <c r="AE50" s="13"/>
      <c r="AG50" s="3"/>
    </row>
    <row r="51" spans="25:51" x14ac:dyDescent="0.2">
      <c r="Y51" s="28"/>
      <c r="Z51" s="33"/>
      <c r="AA51" s="13">
        <v>3</v>
      </c>
      <c r="AB51" s="13"/>
      <c r="AC51" s="13"/>
      <c r="AD51" s="13"/>
      <c r="AE51" s="13"/>
      <c r="AG51" s="3"/>
    </row>
    <row r="52" spans="25:51" x14ac:dyDescent="0.2">
      <c r="Y52" s="28"/>
      <c r="Z52" s="33"/>
      <c r="AA52" s="13">
        <v>4</v>
      </c>
      <c r="AB52" s="13"/>
      <c r="AC52" s="13"/>
      <c r="AD52" s="13"/>
      <c r="AE52" s="13"/>
      <c r="AG52" s="3"/>
    </row>
    <row r="53" spans="25:51" x14ac:dyDescent="0.2">
      <c r="Y53" s="28"/>
      <c r="Z53" s="34"/>
      <c r="AA53" s="13" t="s">
        <v>48</v>
      </c>
      <c r="AB53" s="13">
        <f>AVERAGE(AB49:AB52)</f>
        <v>68.349999999999994</v>
      </c>
      <c r="AC53" s="13">
        <f>AVERAGE(AC49:AC52)</f>
        <v>16.440000000000001</v>
      </c>
      <c r="AD53" s="13">
        <f>AVERAGE(AD49:AD52)</f>
        <v>182.61</v>
      </c>
      <c r="AE53" s="13">
        <f>AVERAGE(AE49:AE52)</f>
        <v>11.23</v>
      </c>
      <c r="AG53" s="3">
        <f>SUM(AB53:AE53)</f>
        <v>278.63</v>
      </c>
    </row>
    <row r="59" spans="25:51" x14ac:dyDescent="0.2">
      <c r="Y59" t="s">
        <v>65</v>
      </c>
    </row>
    <row r="60" spans="25:51" x14ac:dyDescent="0.2">
      <c r="Y60" s="3" t="s">
        <v>39</v>
      </c>
      <c r="Z60" s="3" t="s">
        <v>67</v>
      </c>
      <c r="AA60" s="3" t="s">
        <v>68</v>
      </c>
      <c r="AB60" s="3" t="s">
        <v>70</v>
      </c>
      <c r="AC60" s="3" t="s">
        <v>69</v>
      </c>
      <c r="AD60" s="15" t="s">
        <v>75</v>
      </c>
    </row>
    <row r="61" spans="25:51" x14ac:dyDescent="0.2">
      <c r="Y61" s="3" t="s">
        <v>71</v>
      </c>
      <c r="Z61" s="10">
        <v>8.7800000000000011</v>
      </c>
      <c r="AA61" s="10">
        <v>0</v>
      </c>
      <c r="AB61" s="14">
        <v>15.797499999999999</v>
      </c>
      <c r="AC61" s="10">
        <v>0</v>
      </c>
      <c r="AD61">
        <f>SUM(Z61:AC61)</f>
        <v>24.577500000000001</v>
      </c>
    </row>
    <row r="62" spans="25:51" x14ac:dyDescent="0.2">
      <c r="Y62" s="3" t="s">
        <v>73</v>
      </c>
      <c r="Z62" s="3">
        <v>8.7725000000000009</v>
      </c>
      <c r="AA62" s="3">
        <v>3.7824999999999998</v>
      </c>
      <c r="AB62" s="3">
        <v>23.755000000000003</v>
      </c>
      <c r="AC62" s="3">
        <v>2.0999999999999996</v>
      </c>
      <c r="AD62">
        <f t="shared" ref="AD62:AD64" si="16">SUM(Z62:AC62)</f>
        <v>38.410000000000004</v>
      </c>
    </row>
    <row r="63" spans="25:51" x14ac:dyDescent="0.2">
      <c r="Y63" s="3" t="s">
        <v>72</v>
      </c>
      <c r="Z63" s="3">
        <v>6.8725000000000005</v>
      </c>
      <c r="AA63" s="3">
        <v>3.7850000000000001</v>
      </c>
      <c r="AB63" s="3">
        <v>184.08</v>
      </c>
      <c r="AC63" s="3">
        <v>2.0524999999999998</v>
      </c>
      <c r="AD63">
        <f t="shared" si="16"/>
        <v>196.79000000000002</v>
      </c>
      <c r="AK63" s="3" t="s">
        <v>39</v>
      </c>
      <c r="AL63" s="3" t="s">
        <v>67</v>
      </c>
      <c r="AM63" s="3" t="s">
        <v>68</v>
      </c>
      <c r="AN63" s="3" t="s">
        <v>70</v>
      </c>
      <c r="AO63" s="11" t="s">
        <v>77</v>
      </c>
      <c r="AP63" s="11" t="s">
        <v>78</v>
      </c>
      <c r="AQ63" s="3" t="s">
        <v>69</v>
      </c>
      <c r="AR63" s="11" t="s">
        <v>57</v>
      </c>
      <c r="AS63" s="11" t="s">
        <v>79</v>
      </c>
      <c r="AT63" s="11" t="s">
        <v>80</v>
      </c>
      <c r="AU63" s="11" t="s">
        <v>81</v>
      </c>
      <c r="AV63" s="11" t="s">
        <v>82</v>
      </c>
      <c r="AX63" s="11" t="s">
        <v>83</v>
      </c>
      <c r="AY63" s="11" t="s">
        <v>84</v>
      </c>
    </row>
    <row r="64" spans="25:51" x14ac:dyDescent="0.2">
      <c r="Y64" s="3" t="s">
        <v>74</v>
      </c>
      <c r="Z64" s="3">
        <v>8.7725000000000009</v>
      </c>
      <c r="AA64" s="3">
        <v>3.7949999999999999</v>
      </c>
      <c r="AB64" s="3">
        <v>195.0275</v>
      </c>
      <c r="AC64" s="3">
        <v>2.06</v>
      </c>
      <c r="AD64">
        <f t="shared" si="16"/>
        <v>209.655</v>
      </c>
      <c r="AK64" t="s">
        <v>76</v>
      </c>
      <c r="AL64">
        <v>17.45</v>
      </c>
      <c r="AM64">
        <v>0</v>
      </c>
      <c r="AN64">
        <v>107.03</v>
      </c>
      <c r="AO64">
        <v>169.13</v>
      </c>
      <c r="AP64">
        <v>66.23</v>
      </c>
      <c r="AQ64">
        <v>124.45</v>
      </c>
      <c r="AR64">
        <f>SUM(AL64:AQ64)</f>
        <v>484.29</v>
      </c>
      <c r="AT64">
        <f>AN64/AR64*100</f>
        <v>22.100394391790044</v>
      </c>
    </row>
    <row r="65" spans="25:51" x14ac:dyDescent="0.2">
      <c r="AK65" s="3" t="s">
        <v>71</v>
      </c>
      <c r="AL65" s="10">
        <v>69.392499999999998</v>
      </c>
      <c r="AM65" s="10">
        <v>0</v>
      </c>
      <c r="AN65" s="14">
        <v>119.00999999999999</v>
      </c>
      <c r="AO65">
        <v>0</v>
      </c>
      <c r="AP65">
        <v>0</v>
      </c>
      <c r="AQ65" s="10">
        <v>0</v>
      </c>
      <c r="AR65">
        <f t="shared" ref="AR65:AR68" si="17">SUM(AL65:AQ65)</f>
        <v>188.40249999999997</v>
      </c>
      <c r="AS65" s="20">
        <f>($AR$64)/AR65-1</f>
        <v>1.5705072915699105</v>
      </c>
      <c r="AT65">
        <f t="shared" ref="AT65:AT68" si="18">AN65/AR65*100</f>
        <v>63.167951592999039</v>
      </c>
      <c r="AU65" s="20">
        <f>$AL$64/AL65-1</f>
        <v>-0.74853190186259322</v>
      </c>
    </row>
    <row r="66" spans="25:51" x14ac:dyDescent="0.2">
      <c r="AK66" s="3" t="s">
        <v>73</v>
      </c>
      <c r="AL66" s="13">
        <v>69.31</v>
      </c>
      <c r="AM66" s="13">
        <v>16.407500000000002</v>
      </c>
      <c r="AN66" s="13">
        <v>180.45249999999999</v>
      </c>
      <c r="AO66">
        <v>0</v>
      </c>
      <c r="AP66" s="16">
        <v>0</v>
      </c>
      <c r="AQ66" s="13">
        <v>11.26</v>
      </c>
      <c r="AR66">
        <f t="shared" si="17"/>
        <v>277.42999999999995</v>
      </c>
      <c r="AS66" s="20">
        <f>($AR$64)/AR66-1</f>
        <v>0.74562952816926842</v>
      </c>
      <c r="AT66">
        <f>AN66/AR66*100</f>
        <v>65.044335508056093</v>
      </c>
      <c r="AU66" s="20">
        <f t="shared" ref="AU66:AU68" si="19">$AL$64/AL66-1</f>
        <v>-0.74823257827153378</v>
      </c>
    </row>
    <row r="67" spans="25:51" x14ac:dyDescent="0.2">
      <c r="AK67" s="3" t="s">
        <v>72</v>
      </c>
      <c r="AL67" s="3">
        <v>54.202500000000001</v>
      </c>
      <c r="AM67" s="3">
        <v>16.309999999999999</v>
      </c>
      <c r="AN67" s="3">
        <v>1341.4625000000001</v>
      </c>
      <c r="AO67">
        <v>0</v>
      </c>
      <c r="AP67" s="11">
        <v>0</v>
      </c>
      <c r="AQ67" s="3">
        <v>11.022500000000001</v>
      </c>
      <c r="AR67">
        <f t="shared" si="17"/>
        <v>1422.9975000000002</v>
      </c>
      <c r="AS67" s="20">
        <f t="shared" ref="AS67:AS68" si="20">($AR$64)/AR67-1</f>
        <v>-0.65966911396541461</v>
      </c>
      <c r="AT67">
        <f t="shared" si="18"/>
        <v>94.270193728379709</v>
      </c>
      <c r="AU67" s="20">
        <f t="shared" si="19"/>
        <v>-0.67805913011392471</v>
      </c>
      <c r="AX67" s="20">
        <f>$AR$68/AR67-1</f>
        <v>6.2732014638114286E-2</v>
      </c>
      <c r="AY67" s="20">
        <f>$AL$68/AL67-1</f>
        <v>0.27401872607352074</v>
      </c>
    </row>
    <row r="68" spans="25:51" x14ac:dyDescent="0.2">
      <c r="AK68" s="3" t="s">
        <v>74</v>
      </c>
      <c r="AL68" s="3">
        <v>69.055000000000007</v>
      </c>
      <c r="AM68" s="3">
        <v>16.414999999999999</v>
      </c>
      <c r="AN68" s="3">
        <v>1415.7250000000001</v>
      </c>
      <c r="AO68">
        <v>0</v>
      </c>
      <c r="AP68" s="11">
        <v>0</v>
      </c>
      <c r="AQ68" s="3">
        <v>11.069999999999999</v>
      </c>
      <c r="AR68">
        <f t="shared" si="17"/>
        <v>1512.2650000000001</v>
      </c>
      <c r="AS68" s="20">
        <f t="shared" si="20"/>
        <v>-0.67975850793346404</v>
      </c>
      <c r="AT68">
        <f t="shared" si="18"/>
        <v>93.616198219227456</v>
      </c>
      <c r="AU68" s="20">
        <f t="shared" si="19"/>
        <v>-0.74730287452030986</v>
      </c>
      <c r="AV68" s="20">
        <f>$AR$66/AR68-1</f>
        <v>-0.81654670312412181</v>
      </c>
      <c r="AX68" s="20">
        <f>$AR$68/AR68-1</f>
        <v>0</v>
      </c>
      <c r="AY68" s="20">
        <f>$AL$68/AL68-1</f>
        <v>0</v>
      </c>
    </row>
    <row r="70" spans="25:51" x14ac:dyDescent="0.2">
      <c r="AM70">
        <f>AVERAGE(AM66:AM68)</f>
        <v>16.377500000000001</v>
      </c>
      <c r="AQ70">
        <f>AVERAGE(AQ66:AQ68)</f>
        <v>11.1175</v>
      </c>
    </row>
    <row r="71" spans="25:51" x14ac:dyDescent="0.2">
      <c r="Y71" t="s">
        <v>66</v>
      </c>
      <c r="AR71">
        <f>AR68/AR64</f>
        <v>3.1226434574325301</v>
      </c>
    </row>
    <row r="72" spans="25:51" x14ac:dyDescent="0.2">
      <c r="Y72" s="3" t="s">
        <v>39</v>
      </c>
      <c r="Z72" s="3" t="s">
        <v>67</v>
      </c>
      <c r="AA72" s="3" t="s">
        <v>68</v>
      </c>
      <c r="AB72" s="3" t="s">
        <v>70</v>
      </c>
      <c r="AC72" s="3" t="s">
        <v>69</v>
      </c>
      <c r="AD72" t="s">
        <v>75</v>
      </c>
      <c r="AR72">
        <f>AR68/AR66</f>
        <v>5.4509786252388004</v>
      </c>
    </row>
    <row r="73" spans="25:51" x14ac:dyDescent="0.2">
      <c r="Y73" s="3" t="s">
        <v>71</v>
      </c>
      <c r="Z73" s="10">
        <v>69.392499999999998</v>
      </c>
      <c r="AA73" s="10">
        <v>0</v>
      </c>
      <c r="AB73" s="14">
        <v>119.00999999999999</v>
      </c>
      <c r="AC73" s="10">
        <v>0</v>
      </c>
      <c r="AD73">
        <f>SUM(Z73:AC73)</f>
        <v>188.40249999999997</v>
      </c>
      <c r="AX73" s="17"/>
    </row>
    <row r="74" spans="25:51" x14ac:dyDescent="0.2">
      <c r="Y74" s="3" t="s">
        <v>73</v>
      </c>
      <c r="Z74" s="13">
        <v>69.31</v>
      </c>
      <c r="AA74" s="13">
        <v>16.407500000000002</v>
      </c>
      <c r="AB74" s="13">
        <v>180.45249999999999</v>
      </c>
      <c r="AC74" s="13">
        <v>11.26</v>
      </c>
      <c r="AD74">
        <f>SUM(Z74:AC74)</f>
        <v>277.42999999999995</v>
      </c>
      <c r="AW74" s="18"/>
      <c r="AX74" s="19"/>
    </row>
    <row r="75" spans="25:51" x14ac:dyDescent="0.2">
      <c r="Y75" s="3" t="s">
        <v>72</v>
      </c>
      <c r="Z75" s="3">
        <v>54.202500000000001</v>
      </c>
      <c r="AA75" s="3">
        <v>16.309999999999999</v>
      </c>
      <c r="AB75" s="3">
        <v>1341.4625000000001</v>
      </c>
      <c r="AC75" s="3">
        <v>11.022500000000001</v>
      </c>
      <c r="AD75">
        <f>SUM(Z75:AC75)</f>
        <v>1422.9975000000002</v>
      </c>
    </row>
    <row r="76" spans="25:51" x14ac:dyDescent="0.2">
      <c r="Y76" s="3" t="s">
        <v>74</v>
      </c>
      <c r="Z76" s="3">
        <v>69.055000000000007</v>
      </c>
      <c r="AA76" s="3">
        <v>16.414999999999999</v>
      </c>
      <c r="AB76" s="3">
        <v>1415.7250000000001</v>
      </c>
      <c r="AC76" s="3">
        <v>11.069999999999999</v>
      </c>
      <c r="AD76">
        <f>SUM(Z76:AC76)</f>
        <v>1512.2650000000001</v>
      </c>
    </row>
    <row r="78" spans="25:51" x14ac:dyDescent="0.2">
      <c r="AR78">
        <f>AR68/AR64</f>
        <v>3.1226434574325301</v>
      </c>
    </row>
    <row r="79" spans="25:51" x14ac:dyDescent="0.2">
      <c r="AD79" t="s">
        <v>54</v>
      </c>
      <c r="AH79" t="s">
        <v>53</v>
      </c>
      <c r="AR79">
        <f>AR68/AR66</f>
        <v>5.4509786252388004</v>
      </c>
    </row>
    <row r="80" spans="25:51" x14ac:dyDescent="0.2">
      <c r="AD80" s="3" t="s">
        <v>71</v>
      </c>
      <c r="AE80">
        <f>AD73/MAX(AD73:AD76)</f>
        <v>0.12458299306007874</v>
      </c>
      <c r="AH80" s="3" t="s">
        <v>71</v>
      </c>
      <c r="AI80">
        <f>AD61/MAX(AD61:AD64)</f>
        <v>0.11722830364169708</v>
      </c>
    </row>
    <row r="81" spans="30:35" x14ac:dyDescent="0.2">
      <c r="AD81" s="3" t="s">
        <v>73</v>
      </c>
      <c r="AE81">
        <f>AD74/MAX(AD74:AD77)</f>
        <v>0.18345329687587819</v>
      </c>
      <c r="AH81" s="3" t="s">
        <v>73</v>
      </c>
      <c r="AI81">
        <f>AD62/MAX(AD62:AD65)</f>
        <v>0.18320574276788057</v>
      </c>
    </row>
    <row r="82" spans="30:35" x14ac:dyDescent="0.2">
      <c r="AD82" s="3" t="s">
        <v>72</v>
      </c>
      <c r="AE82">
        <f>AD75/MAX(AD75:AD78)</f>
        <v>0.94097099384036531</v>
      </c>
      <c r="AH82" s="3" t="s">
        <v>72</v>
      </c>
      <c r="AI82">
        <f>AD63/MAX(AD63:AD66)</f>
        <v>0.93863728506355693</v>
      </c>
    </row>
    <row r="83" spans="30:35" x14ac:dyDescent="0.2">
      <c r="AD83" s="3" t="s">
        <v>74</v>
      </c>
      <c r="AE83">
        <f>AD76/MAX(AD76:AD79)</f>
        <v>1</v>
      </c>
      <c r="AH83" s="3" t="s">
        <v>74</v>
      </c>
      <c r="AI83">
        <f>AD64/MAX(AD64:AD67)</f>
        <v>1</v>
      </c>
    </row>
  </sheetData>
  <mergeCells count="15">
    <mergeCell ref="Y4:Y13"/>
    <mergeCell ref="Z9:Z13"/>
    <mergeCell ref="Z4:Z8"/>
    <mergeCell ref="Y14:Y23"/>
    <mergeCell ref="Z14:Z18"/>
    <mergeCell ref="Z19:Z23"/>
    <mergeCell ref="Y44:Y53"/>
    <mergeCell ref="Z44:Z48"/>
    <mergeCell ref="Z49:Z53"/>
    <mergeCell ref="Y24:Y33"/>
    <mergeCell ref="Z24:Z28"/>
    <mergeCell ref="Z29:Z33"/>
    <mergeCell ref="Y34:Y43"/>
    <mergeCell ref="Z34:Z38"/>
    <mergeCell ref="Z39:Z4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2690-D10F-E846-804B-42C77D6A00BC}">
  <dimension ref="A1:P44"/>
  <sheetViews>
    <sheetView topLeftCell="A11" workbookViewId="0">
      <selection activeCell="C32" sqref="C32"/>
    </sheetView>
  </sheetViews>
  <sheetFormatPr baseColWidth="10" defaultRowHeight="16" x14ac:dyDescent="0.2"/>
  <cols>
    <col min="1" max="1" width="12.6640625" bestFit="1" customWidth="1"/>
    <col min="6" max="6" width="12.83203125" bestFit="1" customWidth="1"/>
    <col min="9" max="9" width="12.6640625" bestFit="1" customWidth="1"/>
    <col min="11" max="11" width="22.33203125" customWidth="1"/>
    <col min="12" max="12" width="12.1640625" bestFit="1" customWidth="1"/>
  </cols>
  <sheetData>
    <row r="1" spans="1:9" x14ac:dyDescent="0.2">
      <c r="B1" t="s">
        <v>65</v>
      </c>
    </row>
    <row r="2" spans="1:9" x14ac:dyDescent="0.2">
      <c r="B2" t="s">
        <v>85</v>
      </c>
      <c r="C2" t="s">
        <v>86</v>
      </c>
      <c r="D2" t="s">
        <v>87</v>
      </c>
      <c r="E2" t="s">
        <v>88</v>
      </c>
      <c r="F2" t="s">
        <v>89</v>
      </c>
    </row>
    <row r="3" spans="1:9" x14ac:dyDescent="0.2">
      <c r="B3">
        <v>17.670000000000002</v>
      </c>
      <c r="C3">
        <v>88.15</v>
      </c>
      <c r="D3">
        <v>74.239999999999995</v>
      </c>
      <c r="E3" s="22">
        <f>F3-(SUM(B3:D3))</f>
        <v>24</v>
      </c>
      <c r="F3">
        <v>204.06</v>
      </c>
    </row>
    <row r="4" spans="1:9" x14ac:dyDescent="0.2">
      <c r="B4">
        <v>17.7</v>
      </c>
      <c r="C4">
        <v>88.4</v>
      </c>
      <c r="D4">
        <v>74.47</v>
      </c>
      <c r="E4" s="22">
        <f>F4-(SUM(B4:D4))</f>
        <v>23.870000000000005</v>
      </c>
      <c r="F4">
        <v>204.44</v>
      </c>
    </row>
    <row r="5" spans="1:9" x14ac:dyDescent="0.2">
      <c r="B5">
        <v>17.75</v>
      </c>
      <c r="C5">
        <v>88.26</v>
      </c>
      <c r="D5">
        <v>74.3</v>
      </c>
      <c r="E5" s="22">
        <f>F5-(SUM(B5:D5))</f>
        <v>23.870000000000005</v>
      </c>
      <c r="F5">
        <v>204.18</v>
      </c>
    </row>
    <row r="6" spans="1:9" x14ac:dyDescent="0.2">
      <c r="B6">
        <v>17.71</v>
      </c>
      <c r="C6">
        <v>87.81</v>
      </c>
      <c r="D6">
        <v>74.400000000000006</v>
      </c>
      <c r="E6" s="22">
        <f>F6-(SUM(B6:D6))</f>
        <v>23.95999999999998</v>
      </c>
      <c r="F6">
        <v>203.88</v>
      </c>
    </row>
    <row r="7" spans="1:9" x14ac:dyDescent="0.2">
      <c r="A7" t="s">
        <v>90</v>
      </c>
      <c r="B7">
        <f>AVERAGE(B3:B6)</f>
        <v>17.707500000000003</v>
      </c>
      <c r="C7">
        <f t="shared" ref="C7:F7" si="0">AVERAGE(C3:C6)</f>
        <v>88.155000000000001</v>
      </c>
      <c r="D7">
        <f t="shared" si="0"/>
        <v>74.352499999999992</v>
      </c>
      <c r="E7">
        <f t="shared" si="0"/>
        <v>23.924999999999997</v>
      </c>
      <c r="F7">
        <f t="shared" si="0"/>
        <v>204.14000000000001</v>
      </c>
    </row>
    <row r="14" spans="1:9" x14ac:dyDescent="0.2">
      <c r="E14" s="22"/>
    </row>
    <row r="15" spans="1:9" x14ac:dyDescent="0.2">
      <c r="E15" s="22"/>
      <c r="I15" t="s">
        <v>91</v>
      </c>
    </row>
    <row r="16" spans="1:9" x14ac:dyDescent="0.2">
      <c r="E16" s="22"/>
    </row>
    <row r="17" spans="2:16" x14ac:dyDescent="0.2">
      <c r="E17" s="22"/>
      <c r="I17" s="3"/>
      <c r="J17" s="3" t="s">
        <v>93</v>
      </c>
      <c r="K17" s="3" t="s">
        <v>94</v>
      </c>
      <c r="L17" s="3" t="s">
        <v>95</v>
      </c>
    </row>
    <row r="18" spans="2:16" ht="18" x14ac:dyDescent="0.2">
      <c r="I18" s="3" t="s">
        <v>85</v>
      </c>
      <c r="J18" s="3">
        <v>17.7075</v>
      </c>
      <c r="K18" s="6">
        <v>100706330</v>
      </c>
      <c r="L18" s="3">
        <f>J18/K18</f>
        <v>1.7583303849916881E-7</v>
      </c>
      <c r="N18" s="3" t="s">
        <v>85</v>
      </c>
      <c r="O18" s="3">
        <v>1.7583303849916881E-7</v>
      </c>
      <c r="P18">
        <f>O18*1000000</f>
        <v>0.17583303849916881</v>
      </c>
    </row>
    <row r="19" spans="2:16" ht="18" x14ac:dyDescent="0.2">
      <c r="I19" s="3" t="s">
        <v>86</v>
      </c>
      <c r="J19" s="3">
        <v>88.155000000000001</v>
      </c>
      <c r="K19" s="6">
        <v>1450163</v>
      </c>
      <c r="L19" s="3">
        <f t="shared" ref="L19:L20" si="1">J19/K19</f>
        <v>6.0789718121342221E-5</v>
      </c>
      <c r="N19" s="3" t="s">
        <v>86</v>
      </c>
      <c r="O19" s="3">
        <v>6.0789718121342221E-5</v>
      </c>
      <c r="P19">
        <f t="shared" ref="P19:P20" si="2">O19*1000000</f>
        <v>60.789718121342219</v>
      </c>
    </row>
    <row r="20" spans="2:16" ht="18" x14ac:dyDescent="0.2">
      <c r="I20" s="3" t="s">
        <v>87</v>
      </c>
      <c r="J20" s="3">
        <v>74.352500000000006</v>
      </c>
      <c r="K20" s="6">
        <v>102156493</v>
      </c>
      <c r="L20" s="3">
        <f t="shared" si="1"/>
        <v>7.278294097272897E-7</v>
      </c>
      <c r="N20" s="3" t="s">
        <v>87</v>
      </c>
      <c r="O20" s="3">
        <v>7.278294097272897E-7</v>
      </c>
      <c r="P20">
        <f t="shared" si="2"/>
        <v>0.72782940972728971</v>
      </c>
    </row>
    <row r="22" spans="2:16" x14ac:dyDescent="0.2">
      <c r="E22" s="22"/>
      <c r="N22" s="3" t="s">
        <v>85</v>
      </c>
      <c r="O22">
        <f>O18*10^6</f>
        <v>0.17583303849916881</v>
      </c>
    </row>
    <row r="23" spans="2:16" x14ac:dyDescent="0.2">
      <c r="E23" s="22"/>
      <c r="N23" s="3" t="s">
        <v>86</v>
      </c>
      <c r="O23">
        <f t="shared" ref="O23:O24" si="3">O19*10^6</f>
        <v>60.789718121342219</v>
      </c>
    </row>
    <row r="24" spans="2:16" x14ac:dyDescent="0.2">
      <c r="E24" s="22"/>
      <c r="N24" s="3" t="s">
        <v>87</v>
      </c>
      <c r="O24">
        <f t="shared" si="3"/>
        <v>0.72782940972728971</v>
      </c>
    </row>
    <row r="25" spans="2:16" x14ac:dyDescent="0.2">
      <c r="E25" s="22"/>
      <c r="I25" t="s">
        <v>92</v>
      </c>
    </row>
    <row r="26" spans="2:16" x14ac:dyDescent="0.2">
      <c r="B26" s="3"/>
      <c r="C26" s="3"/>
      <c r="D26" s="3"/>
      <c r="E26" s="3"/>
      <c r="F26" s="3"/>
    </row>
    <row r="27" spans="2:16" x14ac:dyDescent="0.2">
      <c r="I27" s="3"/>
      <c r="J27" s="3" t="s">
        <v>93</v>
      </c>
      <c r="K27" s="3" t="s">
        <v>94</v>
      </c>
      <c r="L27" s="3" t="s">
        <v>95</v>
      </c>
    </row>
    <row r="28" spans="2:16" ht="18" x14ac:dyDescent="0.2">
      <c r="I28" s="3" t="s">
        <v>85</v>
      </c>
      <c r="J28" s="3">
        <v>77.78</v>
      </c>
      <c r="K28" s="6">
        <v>100706330</v>
      </c>
      <c r="L28" s="3">
        <f>J28/K28</f>
        <v>7.7234469769675854E-7</v>
      </c>
      <c r="M28">
        <f>L28*10^6</f>
        <v>0.77234469769675851</v>
      </c>
    </row>
    <row r="29" spans="2:16" ht="18" x14ac:dyDescent="0.2">
      <c r="I29" s="3" t="s">
        <v>86</v>
      </c>
      <c r="J29" s="3">
        <v>675.85</v>
      </c>
      <c r="K29" s="6">
        <v>1450163</v>
      </c>
      <c r="L29" s="3">
        <f t="shared" ref="L29:L30" si="4">J29/K29</f>
        <v>4.660510577086852E-4</v>
      </c>
      <c r="M29">
        <f t="shared" ref="M29:M30" si="5">L29*10^6</f>
        <v>466.05105770868522</v>
      </c>
      <c r="N29">
        <f>M29/M28</f>
        <v>603.42365151015554</v>
      </c>
    </row>
    <row r="30" spans="2:16" ht="18" x14ac:dyDescent="0.2">
      <c r="I30" s="3" t="s">
        <v>87</v>
      </c>
      <c r="J30" s="3">
        <v>552.95000000000005</v>
      </c>
      <c r="K30" s="6">
        <v>102156493</v>
      </c>
      <c r="L30" s="3">
        <f t="shared" si="4"/>
        <v>5.4127739095350506E-6</v>
      </c>
      <c r="M30">
        <f t="shared" si="5"/>
        <v>5.4127739095350504</v>
      </c>
      <c r="N30">
        <f>M29/M30</f>
        <v>86.102073631358891</v>
      </c>
    </row>
    <row r="33" spans="1:6" x14ac:dyDescent="0.2">
      <c r="A33" t="s">
        <v>97</v>
      </c>
    </row>
    <row r="34" spans="1:6" x14ac:dyDescent="0.2">
      <c r="A34" s="3"/>
      <c r="B34" s="3" t="s">
        <v>85</v>
      </c>
      <c r="C34" s="3" t="s">
        <v>86</v>
      </c>
      <c r="D34" s="3" t="s">
        <v>87</v>
      </c>
      <c r="E34" s="3" t="s">
        <v>88</v>
      </c>
      <c r="F34" s="3" t="s">
        <v>89</v>
      </c>
    </row>
    <row r="35" spans="1:6" x14ac:dyDescent="0.2">
      <c r="A35" s="3" t="s">
        <v>91</v>
      </c>
      <c r="B35" s="3">
        <v>17.71</v>
      </c>
      <c r="C35" s="3">
        <v>88.16</v>
      </c>
      <c r="D35" s="3">
        <v>74.349999999999994</v>
      </c>
      <c r="E35" s="3">
        <v>23.93</v>
      </c>
      <c r="F35" s="3">
        <v>204.14000000000001</v>
      </c>
    </row>
    <row r="36" spans="1:6" x14ac:dyDescent="0.2">
      <c r="A36" s="3" t="s">
        <v>92</v>
      </c>
      <c r="B36" s="3">
        <v>77.78</v>
      </c>
      <c r="C36" s="3">
        <v>675.85</v>
      </c>
      <c r="D36" s="3">
        <v>552.95000000000005</v>
      </c>
      <c r="E36" s="3">
        <f>F36-SUM(B36:D36)</f>
        <v>184.24</v>
      </c>
      <c r="F36" s="3">
        <v>1490.82</v>
      </c>
    </row>
    <row r="41" spans="1:6" x14ac:dyDescent="0.2">
      <c r="A41" t="s">
        <v>96</v>
      </c>
    </row>
    <row r="42" spans="1:6" x14ac:dyDescent="0.2">
      <c r="A42" s="23"/>
      <c r="B42" s="24" t="s">
        <v>85</v>
      </c>
      <c r="C42" s="24" t="s">
        <v>86</v>
      </c>
      <c r="D42" s="24" t="s">
        <v>87</v>
      </c>
      <c r="E42" s="24" t="s">
        <v>88</v>
      </c>
      <c r="F42" s="24" t="s">
        <v>89</v>
      </c>
    </row>
    <row r="43" spans="1:6" x14ac:dyDescent="0.2">
      <c r="A43" s="25" t="s">
        <v>91</v>
      </c>
      <c r="B43" s="26">
        <f>B35/$F$35</f>
        <v>8.6754188302145582E-2</v>
      </c>
      <c r="C43" s="26">
        <f>C35/$F$35</f>
        <v>0.43186048790046044</v>
      </c>
      <c r="D43" s="26">
        <f>D35/$F$35</f>
        <v>0.36421083570098944</v>
      </c>
      <c r="E43" s="26">
        <f>E35/$F$35</f>
        <v>0.11722347408641128</v>
      </c>
      <c r="F43" s="26">
        <v>1</v>
      </c>
    </row>
    <row r="44" spans="1:6" x14ac:dyDescent="0.2">
      <c r="A44" s="25" t="s">
        <v>92</v>
      </c>
      <c r="B44" s="26">
        <f>B36/$F$36</f>
        <v>5.2172629827879964E-2</v>
      </c>
      <c r="C44" s="26">
        <f>C36/$F$36</f>
        <v>0.45334111428609764</v>
      </c>
      <c r="D44" s="26">
        <f>D36/$F$36</f>
        <v>0.37090326129244311</v>
      </c>
      <c r="E44" s="26">
        <f>E36/$F$36</f>
        <v>0.12358299459357938</v>
      </c>
      <c r="F44" s="26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4A4F-C1BE-604C-BA0D-D877AF924122}">
  <dimension ref="A2:Q33"/>
  <sheetViews>
    <sheetView zoomScale="125" workbookViewId="0">
      <selection activeCell="I17" sqref="I17"/>
    </sheetView>
  </sheetViews>
  <sheetFormatPr baseColWidth="10" defaultRowHeight="16" x14ac:dyDescent="0.2"/>
  <cols>
    <col min="1" max="1" width="21.5" bestFit="1" customWidth="1"/>
    <col min="7" max="7" width="28.5" bestFit="1" customWidth="1"/>
    <col min="8" max="8" width="14.5" customWidth="1"/>
    <col min="13" max="13" width="17.1640625" bestFit="1" customWidth="1"/>
  </cols>
  <sheetData>
    <row r="2" spans="1:17" x14ac:dyDescent="0.2">
      <c r="A2" t="s">
        <v>104</v>
      </c>
      <c r="G2" t="s">
        <v>115</v>
      </c>
      <c r="M2" t="s">
        <v>116</v>
      </c>
    </row>
    <row r="3" spans="1:17" x14ac:dyDescent="0.2">
      <c r="B3">
        <v>10</v>
      </c>
      <c r="C3">
        <v>100</v>
      </c>
      <c r="D3">
        <v>1000</v>
      </c>
      <c r="E3">
        <v>10000</v>
      </c>
      <c r="H3">
        <v>10</v>
      </c>
      <c r="I3">
        <v>100</v>
      </c>
      <c r="J3">
        <v>1000</v>
      </c>
      <c r="K3">
        <v>10000</v>
      </c>
      <c r="N3">
        <v>10</v>
      </c>
      <c r="O3">
        <v>100</v>
      </c>
      <c r="P3">
        <v>1000</v>
      </c>
      <c r="Q3">
        <v>10000</v>
      </c>
    </row>
    <row r="4" spans="1:17" ht="18" x14ac:dyDescent="0.2">
      <c r="A4" t="s">
        <v>98</v>
      </c>
      <c r="B4" s="27">
        <v>3.3679000000000001E-2</v>
      </c>
      <c r="C4" s="27">
        <v>2.6126900000000002</v>
      </c>
      <c r="D4" s="27">
        <v>195.792</v>
      </c>
      <c r="E4" s="27">
        <v>3279.26</v>
      </c>
      <c r="G4" t="s">
        <v>98</v>
      </c>
      <c r="H4" s="27">
        <v>7.1300000000000001E-3</v>
      </c>
      <c r="I4" s="27">
        <v>6.9446999999999995E-2</v>
      </c>
      <c r="J4" s="27">
        <v>0.416653</v>
      </c>
      <c r="K4" s="27">
        <v>4.9131999999999998</v>
      </c>
      <c r="M4" t="s">
        <v>98</v>
      </c>
      <c r="N4" s="27">
        <v>1.531E-3</v>
      </c>
      <c r="O4" s="27">
        <v>4.2783000000000002E-2</v>
      </c>
      <c r="P4" s="27">
        <v>0.24047399999999999</v>
      </c>
      <c r="Q4" s="27">
        <v>2.4996399999999999</v>
      </c>
    </row>
    <row r="5" spans="1:17" x14ac:dyDescent="0.2">
      <c r="A5" t="s">
        <v>100</v>
      </c>
      <c r="B5">
        <f>B4/B3</f>
        <v>3.3679000000000001E-3</v>
      </c>
      <c r="C5">
        <f>C4/C3</f>
        <v>2.6126900000000002E-2</v>
      </c>
      <c r="D5">
        <f t="shared" ref="D5:E5" si="0">D4/D3</f>
        <v>0.19579199999999999</v>
      </c>
      <c r="E5">
        <f t="shared" si="0"/>
        <v>0.327926</v>
      </c>
      <c r="G5" t="s">
        <v>100</v>
      </c>
      <c r="H5">
        <f>H4/H3</f>
        <v>7.1299999999999998E-4</v>
      </c>
      <c r="I5">
        <f>I4/I3</f>
        <v>6.9446999999999998E-4</v>
      </c>
      <c r="J5">
        <f t="shared" ref="J5:K5" si="1">J4/J3</f>
        <v>4.1665300000000001E-4</v>
      </c>
      <c r="K5">
        <f t="shared" si="1"/>
        <v>4.9131999999999995E-4</v>
      </c>
      <c r="M5" t="s">
        <v>100</v>
      </c>
      <c r="N5">
        <f>N4/N3</f>
        <v>1.5310000000000001E-4</v>
      </c>
      <c r="O5">
        <f>O4/O3</f>
        <v>4.2783000000000003E-4</v>
      </c>
      <c r="P5">
        <f t="shared" ref="P5:Q5" si="2">P4/P3</f>
        <v>2.4047399999999999E-4</v>
      </c>
      <c r="Q5">
        <f t="shared" si="2"/>
        <v>2.4996399999999998E-4</v>
      </c>
    </row>
    <row r="6" spans="1:17" x14ac:dyDescent="0.2">
      <c r="A6" t="s">
        <v>99</v>
      </c>
      <c r="B6">
        <f>1/B5</f>
        <v>296.92092995635261</v>
      </c>
      <c r="C6">
        <f>1/C5</f>
        <v>38.27472834511557</v>
      </c>
      <c r="D6">
        <f t="shared" ref="D6" si="3">1/D5</f>
        <v>5.1074609789981205</v>
      </c>
      <c r="E6">
        <f>1/E5</f>
        <v>3.0494684776443468</v>
      </c>
      <c r="G6" t="s">
        <v>99</v>
      </c>
      <c r="H6">
        <f>1/H5</f>
        <v>1402.5245441795232</v>
      </c>
      <c r="I6">
        <f t="shared" ref="I6:K6" si="4">1/I5</f>
        <v>1439.9470099500338</v>
      </c>
      <c r="J6">
        <f t="shared" si="4"/>
        <v>2400.0787225821005</v>
      </c>
      <c r="K6">
        <f t="shared" si="4"/>
        <v>2035.3333876088905</v>
      </c>
      <c r="M6" t="s">
        <v>99</v>
      </c>
      <c r="N6">
        <f>1/N5</f>
        <v>6531.6786414108419</v>
      </c>
      <c r="O6">
        <f t="shared" ref="O6:Q6" si="5">1/O5</f>
        <v>2337.3769955356097</v>
      </c>
      <c r="P6">
        <f t="shared" si="5"/>
        <v>4158.4537205685438</v>
      </c>
      <c r="Q6">
        <f t="shared" si="5"/>
        <v>4000.5760829559458</v>
      </c>
    </row>
    <row r="7" spans="1:17" ht="18" x14ac:dyDescent="0.2">
      <c r="A7" t="s">
        <v>101</v>
      </c>
      <c r="B7" s="27">
        <v>6.2500000000000001E-4</v>
      </c>
      <c r="C7" s="27">
        <v>6.7100000000000005E-4</v>
      </c>
      <c r="G7" t="s">
        <v>101</v>
      </c>
      <c r="H7" s="27">
        <v>6.7400000000000001E-4</v>
      </c>
      <c r="I7" s="27">
        <v>3.8000000000000002E-4</v>
      </c>
      <c r="M7" t="s">
        <v>101</v>
      </c>
      <c r="N7" s="27">
        <v>6.0999999999999999E-5</v>
      </c>
      <c r="O7" s="27">
        <v>4.6E-5</v>
      </c>
    </row>
    <row r="8" spans="1:17" ht="18" x14ac:dyDescent="0.2">
      <c r="A8" t="s">
        <v>102</v>
      </c>
      <c r="B8" s="27">
        <v>9.9399999999999992E-3</v>
      </c>
      <c r="C8" s="27">
        <v>0.14436399999999999</v>
      </c>
      <c r="D8" s="27">
        <v>1.1071770000000001</v>
      </c>
      <c r="E8" s="27">
        <v>7.3693989999999996</v>
      </c>
      <c r="G8" t="s">
        <v>102</v>
      </c>
      <c r="H8" s="27">
        <v>7.7800000000000005E-4</v>
      </c>
      <c r="I8" s="27">
        <v>9.7900000000000005E-4</v>
      </c>
      <c r="J8" s="27">
        <v>9.9500000000000001E-4</v>
      </c>
      <c r="K8" s="27">
        <v>1.0020000000000001E-3</v>
      </c>
      <c r="M8" t="s">
        <v>102</v>
      </c>
      <c r="N8" s="27">
        <v>4.4999999999999999E-4</v>
      </c>
      <c r="O8" s="27">
        <v>1.0252000000000001E-2</v>
      </c>
      <c r="P8" s="27">
        <v>3.9309999999999998E-2</v>
      </c>
      <c r="Q8" s="27">
        <v>5.9423999999999998E-2</v>
      </c>
    </row>
    <row r="9" spans="1:17" ht="18" x14ac:dyDescent="0.2">
      <c r="A9" t="s">
        <v>103</v>
      </c>
      <c r="B9" s="27">
        <v>9.9399999999999992E-3</v>
      </c>
      <c r="C9" s="27">
        <v>0.14436399999999999</v>
      </c>
      <c r="D9" s="27">
        <v>0.89703100000000002</v>
      </c>
      <c r="E9" s="27">
        <v>5.8680770000000004</v>
      </c>
      <c r="G9" t="s">
        <v>103</v>
      </c>
      <c r="H9" s="27">
        <v>7.7800000000000005E-4</v>
      </c>
      <c r="I9" s="27">
        <v>9.7900000000000005E-4</v>
      </c>
      <c r="J9" s="27">
        <v>9.1799999999999998E-4</v>
      </c>
      <c r="K9" s="27">
        <v>9.1799999999999998E-4</v>
      </c>
      <c r="M9" t="s">
        <v>103</v>
      </c>
      <c r="N9" s="27">
        <v>4.4999999999999999E-4</v>
      </c>
      <c r="O9" s="27">
        <v>1.0252000000000001E-2</v>
      </c>
      <c r="P9" s="27">
        <v>2.3050000000000002E-3</v>
      </c>
      <c r="Q9" s="27">
        <v>2.4480000000000001E-3</v>
      </c>
    </row>
    <row r="12" spans="1:17" x14ac:dyDescent="0.2">
      <c r="A12" s="2" t="s">
        <v>106</v>
      </c>
      <c r="B12" s="2"/>
      <c r="C12" s="2"/>
      <c r="D12" s="2"/>
      <c r="E12" s="2"/>
      <c r="G12" s="2"/>
      <c r="H12" s="2"/>
      <c r="I12" s="2"/>
      <c r="J12" s="2"/>
      <c r="K12" s="2"/>
    </row>
    <row r="13" spans="1:17" x14ac:dyDescent="0.2">
      <c r="A13" s="2"/>
      <c r="B13" s="2">
        <v>10</v>
      </c>
      <c r="C13" s="2">
        <v>100</v>
      </c>
      <c r="D13" s="2">
        <v>1000</v>
      </c>
      <c r="E13" s="2">
        <v>10000</v>
      </c>
      <c r="G13" s="2"/>
      <c r="H13" s="2"/>
      <c r="I13" s="2"/>
      <c r="J13" s="2"/>
      <c r="K13" s="2"/>
    </row>
    <row r="14" spans="1:17" ht="18" x14ac:dyDescent="0.2">
      <c r="A14" s="2" t="s">
        <v>98</v>
      </c>
      <c r="B14" s="27">
        <v>5.0730000000000003E-3</v>
      </c>
      <c r="C14" s="27">
        <v>0.148647</v>
      </c>
      <c r="D14" s="27">
        <v>0.78645200000000004</v>
      </c>
      <c r="E14" s="27">
        <v>7.7251399999999997</v>
      </c>
      <c r="G14" s="2" t="s">
        <v>111</v>
      </c>
      <c r="H14" s="2"/>
      <c r="I14" s="2"/>
      <c r="J14" s="2"/>
      <c r="K14" s="2"/>
    </row>
    <row r="15" spans="1:17" x14ac:dyDescent="0.2">
      <c r="A15" s="2" t="s">
        <v>100</v>
      </c>
      <c r="B15">
        <f>B14/B13</f>
        <v>5.0730000000000003E-4</v>
      </c>
      <c r="C15">
        <f>C14/C13</f>
        <v>1.4864699999999999E-3</v>
      </c>
      <c r="D15" s="2">
        <f>D14/D13</f>
        <v>7.8645200000000009E-4</v>
      </c>
      <c r="E15" s="2">
        <f>E14/E13</f>
        <v>7.7251399999999997E-4</v>
      </c>
      <c r="G15" s="2"/>
      <c r="H15" s="2"/>
      <c r="I15" s="2"/>
      <c r="J15" s="2"/>
      <c r="K15" s="2"/>
    </row>
    <row r="16" spans="1:17" x14ac:dyDescent="0.2">
      <c r="A16" s="2" t="s">
        <v>99</v>
      </c>
      <c r="B16">
        <f>1/B15</f>
        <v>1971.2201852946973</v>
      </c>
      <c r="C16">
        <f>1/C15</f>
        <v>672.73473396704946</v>
      </c>
      <c r="D16" s="2">
        <f>1/D15</f>
        <v>1271.5334184413034</v>
      </c>
      <c r="E16" s="2">
        <f>1/E15</f>
        <v>1294.4749221373336</v>
      </c>
      <c r="G16" s="2"/>
      <c r="H16" s="2"/>
      <c r="I16" s="2"/>
      <c r="J16" s="2"/>
      <c r="K16" s="2"/>
    </row>
    <row r="17" spans="1:11" ht="18" x14ac:dyDescent="0.2">
      <c r="A17" s="2" t="s">
        <v>101</v>
      </c>
      <c r="B17" s="27">
        <v>1E-4</v>
      </c>
      <c r="C17" s="27">
        <v>2.8E-5</v>
      </c>
      <c r="D17" s="2"/>
      <c r="E17" s="2"/>
      <c r="G17" s="2"/>
      <c r="H17" s="2"/>
      <c r="I17" s="2"/>
      <c r="J17" s="2"/>
      <c r="K17" s="2"/>
    </row>
    <row r="18" spans="1:11" ht="18" x14ac:dyDescent="0.2">
      <c r="A18" s="2" t="s">
        <v>102</v>
      </c>
      <c r="B18" s="27">
        <v>1.9580000000000001E-3</v>
      </c>
      <c r="C18" s="27">
        <v>2.8938999999999999E-2</v>
      </c>
      <c r="D18" s="27">
        <v>0.108019</v>
      </c>
      <c r="E18" s="27">
        <v>0.150508</v>
      </c>
      <c r="G18" s="2"/>
      <c r="H18" s="2"/>
      <c r="I18" s="2"/>
      <c r="J18" s="2"/>
      <c r="K18" s="2"/>
    </row>
    <row r="19" spans="1:11" ht="18" x14ac:dyDescent="0.2">
      <c r="A19" s="2" t="s">
        <v>103</v>
      </c>
      <c r="B19" s="27">
        <v>1.9580000000000001E-3</v>
      </c>
      <c r="C19" s="27">
        <v>2.8938999999999999E-2</v>
      </c>
      <c r="D19" s="27">
        <v>8.2419999999999993E-3</v>
      </c>
      <c r="E19" s="27">
        <v>6.1221999999999999E-2</v>
      </c>
      <c r="G19" s="2"/>
      <c r="H19" s="2"/>
      <c r="I19" s="2"/>
      <c r="J19" s="2"/>
      <c r="K19" s="2"/>
    </row>
    <row r="23" spans="1:11" x14ac:dyDescent="0.2">
      <c r="A23" s="9" t="s">
        <v>99</v>
      </c>
    </row>
    <row r="24" spans="1:11" x14ac:dyDescent="0.2">
      <c r="A24" t="s">
        <v>107</v>
      </c>
      <c r="B24" s="2">
        <v>10</v>
      </c>
      <c r="C24" s="2">
        <v>100</v>
      </c>
      <c r="D24" s="2">
        <v>1000</v>
      </c>
      <c r="E24" s="2">
        <v>10000</v>
      </c>
    </row>
    <row r="25" spans="1:11" x14ac:dyDescent="0.2">
      <c r="A25" t="s">
        <v>109</v>
      </c>
      <c r="B25">
        <f>H6</f>
        <v>1402.5245441795232</v>
      </c>
      <c r="C25">
        <f t="shared" ref="C25:E25" si="6">I6</f>
        <v>1439.9470099500338</v>
      </c>
      <c r="D25">
        <f t="shared" si="6"/>
        <v>2400.0787225821005</v>
      </c>
      <c r="E25">
        <f t="shared" si="6"/>
        <v>2035.3333876088905</v>
      </c>
    </row>
    <row r="26" spans="1:11" x14ac:dyDescent="0.2">
      <c r="A26" t="s">
        <v>73</v>
      </c>
      <c r="B26">
        <f>B6</f>
        <v>296.92092995635261</v>
      </c>
      <c r="C26">
        <f t="shared" ref="C26:E26" si="7">C6</f>
        <v>38.27472834511557</v>
      </c>
      <c r="D26">
        <f t="shared" si="7"/>
        <v>5.1074609789981205</v>
      </c>
      <c r="E26">
        <f t="shared" si="7"/>
        <v>3.0494684776443468</v>
      </c>
    </row>
    <row r="27" spans="1:11" x14ac:dyDescent="0.2">
      <c r="A27" t="s">
        <v>108</v>
      </c>
      <c r="B27">
        <f>B16</f>
        <v>1971.2201852946973</v>
      </c>
      <c r="C27">
        <f t="shared" ref="C27:E27" si="8">C16</f>
        <v>672.73473396704946</v>
      </c>
      <c r="D27">
        <f t="shared" si="8"/>
        <v>1271.5334184413034</v>
      </c>
      <c r="E27">
        <f t="shared" si="8"/>
        <v>1294.4749221373336</v>
      </c>
    </row>
    <row r="29" spans="1:11" x14ac:dyDescent="0.2">
      <c r="A29" s="9" t="s">
        <v>110</v>
      </c>
    </row>
    <row r="30" spans="1:11" x14ac:dyDescent="0.2">
      <c r="A30" t="s">
        <v>107</v>
      </c>
      <c r="B30" s="2">
        <v>10</v>
      </c>
      <c r="C30" s="2">
        <v>100</v>
      </c>
      <c r="D30" s="2">
        <v>1000</v>
      </c>
      <c r="E30" s="2">
        <v>10000</v>
      </c>
    </row>
    <row r="31" spans="1:11" x14ac:dyDescent="0.2">
      <c r="A31" t="s">
        <v>109</v>
      </c>
      <c r="B31">
        <f>H9</f>
        <v>7.7800000000000005E-4</v>
      </c>
      <c r="C31">
        <f t="shared" ref="C31:E31" si="9">I9</f>
        <v>9.7900000000000005E-4</v>
      </c>
      <c r="D31">
        <f t="shared" si="9"/>
        <v>9.1799999999999998E-4</v>
      </c>
      <c r="E31">
        <f t="shared" si="9"/>
        <v>9.1799999999999998E-4</v>
      </c>
    </row>
    <row r="32" spans="1:11" x14ac:dyDescent="0.2">
      <c r="A32" t="s">
        <v>73</v>
      </c>
      <c r="B32">
        <f>B9</f>
        <v>9.9399999999999992E-3</v>
      </c>
      <c r="C32">
        <f t="shared" ref="C32:E32" si="10">C9</f>
        <v>0.14436399999999999</v>
      </c>
      <c r="D32">
        <f t="shared" si="10"/>
        <v>0.89703100000000002</v>
      </c>
      <c r="E32">
        <f t="shared" si="10"/>
        <v>5.8680770000000004</v>
      </c>
    </row>
    <row r="33" spans="1:5" x14ac:dyDescent="0.2">
      <c r="A33" t="s">
        <v>108</v>
      </c>
      <c r="B33">
        <f>B19</f>
        <v>1.9580000000000001E-3</v>
      </c>
      <c r="C33">
        <f t="shared" ref="C33:E33" si="11">C19</f>
        <v>2.8938999999999999E-2</v>
      </c>
      <c r="D33">
        <f t="shared" si="11"/>
        <v>8.2419999999999993E-3</v>
      </c>
      <c r="E33">
        <f t="shared" si="11"/>
        <v>6.1221999999999999E-2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6D4B-CBE1-6040-B05A-6A93103A9872}">
  <dimension ref="A1:W36"/>
  <sheetViews>
    <sheetView tabSelected="1" topLeftCell="D1" workbookViewId="0">
      <selection activeCell="W8" sqref="W8"/>
    </sheetView>
  </sheetViews>
  <sheetFormatPr baseColWidth="10" defaultRowHeight="16" x14ac:dyDescent="0.2"/>
  <cols>
    <col min="19" max="19" width="17.1640625" bestFit="1" customWidth="1"/>
  </cols>
  <sheetData>
    <row r="1" spans="1:23" x14ac:dyDescent="0.2">
      <c r="A1" t="s">
        <v>104</v>
      </c>
      <c r="G1" t="s">
        <v>105</v>
      </c>
      <c r="M1" t="s">
        <v>112</v>
      </c>
      <c r="S1" t="s">
        <v>117</v>
      </c>
    </row>
    <row r="2" spans="1:23" x14ac:dyDescent="0.2">
      <c r="B2">
        <v>10</v>
      </c>
      <c r="C2">
        <v>100</v>
      </c>
      <c r="D2">
        <v>1000</v>
      </c>
      <c r="E2">
        <v>10000</v>
      </c>
      <c r="H2">
        <v>10</v>
      </c>
      <c r="I2">
        <v>100</v>
      </c>
      <c r="J2">
        <v>1000</v>
      </c>
      <c r="K2">
        <v>10000</v>
      </c>
      <c r="N2">
        <v>10</v>
      </c>
      <c r="O2">
        <v>100</v>
      </c>
      <c r="P2">
        <v>1000</v>
      </c>
      <c r="Q2">
        <v>10000</v>
      </c>
      <c r="T2">
        <v>10</v>
      </c>
      <c r="U2">
        <v>100</v>
      </c>
      <c r="V2">
        <v>1000</v>
      </c>
      <c r="W2">
        <v>10000</v>
      </c>
    </row>
    <row r="3" spans="1:23" ht="18" x14ac:dyDescent="0.2">
      <c r="A3" t="s">
        <v>98</v>
      </c>
      <c r="B3" s="27">
        <v>3.3679000000000001E-2</v>
      </c>
      <c r="C3" s="27">
        <v>2.6126900000000002</v>
      </c>
      <c r="D3" s="27">
        <v>195.792</v>
      </c>
      <c r="E3" s="27">
        <v>3279.26</v>
      </c>
      <c r="G3" t="s">
        <v>98</v>
      </c>
      <c r="H3" s="27">
        <v>7.1300000000000001E-3</v>
      </c>
      <c r="I3" s="27">
        <v>6.9446999999999995E-2</v>
      </c>
      <c r="J3" s="27">
        <v>0.416653</v>
      </c>
      <c r="K3" s="27">
        <v>4.9131999999999998</v>
      </c>
      <c r="M3" t="s">
        <v>98</v>
      </c>
      <c r="N3" s="27">
        <v>7.7510000000000001E-3</v>
      </c>
      <c r="O3" s="27">
        <v>0.23369300000000001</v>
      </c>
      <c r="P3" s="27">
        <v>2.2298499999999999</v>
      </c>
      <c r="Q3" s="27">
        <v>22.678699999999999</v>
      </c>
      <c r="S3" t="s">
        <v>98</v>
      </c>
      <c r="T3" s="27">
        <v>7.7590000000000003E-3</v>
      </c>
      <c r="U3" s="27">
        <v>0.25437399999999999</v>
      </c>
      <c r="V3" s="27">
        <v>2.09659</v>
      </c>
      <c r="W3" s="27">
        <v>17.8155</v>
      </c>
    </row>
    <row r="4" spans="1:23" x14ac:dyDescent="0.2">
      <c r="A4" t="s">
        <v>100</v>
      </c>
      <c r="B4">
        <f>B3/B2</f>
        <v>3.3679000000000001E-3</v>
      </c>
      <c r="C4">
        <f>C3/C2</f>
        <v>2.6126900000000002E-2</v>
      </c>
      <c r="D4">
        <f t="shared" ref="D4:E4" si="0">D3/D2</f>
        <v>0.19579199999999999</v>
      </c>
      <c r="E4">
        <f t="shared" si="0"/>
        <v>0.327926</v>
      </c>
      <c r="G4" t="s">
        <v>100</v>
      </c>
      <c r="H4">
        <f>H3/H2</f>
        <v>7.1299999999999998E-4</v>
      </c>
      <c r="I4">
        <f>I3/I2</f>
        <v>6.9446999999999998E-4</v>
      </c>
      <c r="J4">
        <f t="shared" ref="J4:K4" si="1">J3/J2</f>
        <v>4.1665300000000001E-4</v>
      </c>
      <c r="K4">
        <f t="shared" si="1"/>
        <v>4.9131999999999995E-4</v>
      </c>
      <c r="M4" t="s">
        <v>100</v>
      </c>
      <c r="N4">
        <f>N3/N2</f>
        <v>7.7510000000000003E-4</v>
      </c>
      <c r="O4">
        <f>O3/O2</f>
        <v>2.3369300000000001E-3</v>
      </c>
      <c r="P4">
        <f t="shared" ref="P4:Q4" si="2">P3/P2</f>
        <v>2.2298499999999998E-3</v>
      </c>
      <c r="Q4">
        <f t="shared" si="2"/>
        <v>2.26787E-3</v>
      </c>
      <c r="S4" t="s">
        <v>100</v>
      </c>
      <c r="T4">
        <f>T3/T2</f>
        <v>7.7590000000000005E-4</v>
      </c>
      <c r="U4">
        <f>U3/U2</f>
        <v>2.5437400000000001E-3</v>
      </c>
      <c r="V4">
        <f>V3/V2</f>
        <v>2.0965899999999997E-3</v>
      </c>
      <c r="W4">
        <f t="shared" ref="V4:W4" si="3">W3/W2</f>
        <v>1.78155E-3</v>
      </c>
    </row>
    <row r="5" spans="1:23" x14ac:dyDescent="0.2">
      <c r="A5" t="s">
        <v>99</v>
      </c>
      <c r="B5">
        <f>1/B4</f>
        <v>296.92092995635261</v>
      </c>
      <c r="C5">
        <f>1/C4</f>
        <v>38.27472834511557</v>
      </c>
      <c r="D5">
        <f t="shared" ref="D5" si="4">1/D4</f>
        <v>5.1074609789981205</v>
      </c>
      <c r="E5">
        <f>1/E4</f>
        <v>3.0494684776443468</v>
      </c>
      <c r="G5" t="s">
        <v>99</v>
      </c>
      <c r="H5">
        <f>1/H4</f>
        <v>1402.5245441795232</v>
      </c>
      <c r="I5">
        <f t="shared" ref="I5:K5" si="5">1/I4</f>
        <v>1439.9470099500338</v>
      </c>
      <c r="J5">
        <f t="shared" si="5"/>
        <v>2400.0787225821005</v>
      </c>
      <c r="K5">
        <f t="shared" si="5"/>
        <v>2035.3333876088905</v>
      </c>
      <c r="M5" t="s">
        <v>99</v>
      </c>
      <c r="N5">
        <f>1/N4</f>
        <v>1290.1561088891756</v>
      </c>
      <c r="O5">
        <f t="shared" ref="O5:Q5" si="6">1/O4</f>
        <v>427.9118330459192</v>
      </c>
      <c r="P5">
        <f t="shared" si="6"/>
        <v>448.4606587887078</v>
      </c>
      <c r="Q5">
        <f t="shared" si="6"/>
        <v>440.94238205893635</v>
      </c>
      <c r="S5" t="s">
        <v>99</v>
      </c>
      <c r="T5">
        <f>1/T4</f>
        <v>1288.8258796236628</v>
      </c>
      <c r="U5">
        <f t="shared" ref="U5:W5" si="7">1/U4</f>
        <v>393.12193856290344</v>
      </c>
      <c r="V5">
        <f>1/V4</f>
        <v>476.96497646177846</v>
      </c>
      <c r="W5">
        <f t="shared" si="7"/>
        <v>561.30897252392583</v>
      </c>
    </row>
    <row r="6" spans="1:23" ht="18" x14ac:dyDescent="0.2">
      <c r="A6" t="s">
        <v>101</v>
      </c>
      <c r="B6" s="27">
        <v>6.2500000000000001E-4</v>
      </c>
      <c r="C6" s="27">
        <v>6.7100000000000005E-4</v>
      </c>
      <c r="G6" t="s">
        <v>101</v>
      </c>
      <c r="H6" s="27">
        <v>6.7400000000000001E-4</v>
      </c>
      <c r="I6" s="27">
        <v>3.8000000000000002E-4</v>
      </c>
      <c r="M6" t="s">
        <v>101</v>
      </c>
      <c r="N6" s="27">
        <v>2.12E-4</v>
      </c>
      <c r="O6" s="27">
        <v>6.2000000000000003E-5</v>
      </c>
      <c r="S6" t="s">
        <v>101</v>
      </c>
      <c r="T6" s="27">
        <v>2.0799999999999999E-4</v>
      </c>
      <c r="U6" s="27">
        <v>9.0000000000000006E-5</v>
      </c>
    </row>
    <row r="7" spans="1:23" ht="18" x14ac:dyDescent="0.2">
      <c r="A7" t="s">
        <v>102</v>
      </c>
      <c r="B7" s="27">
        <v>9.9399999999999992E-3</v>
      </c>
      <c r="C7" s="27">
        <v>0.14436399999999999</v>
      </c>
      <c r="D7" s="27">
        <v>1.1071770000000001</v>
      </c>
      <c r="E7" s="27">
        <v>7.3693989999999996</v>
      </c>
      <c r="G7" t="s">
        <v>102</v>
      </c>
      <c r="H7" s="27">
        <v>7.7800000000000005E-4</v>
      </c>
      <c r="I7" s="27">
        <v>9.7900000000000005E-4</v>
      </c>
      <c r="J7" s="27">
        <v>9.9500000000000001E-4</v>
      </c>
      <c r="K7" s="27">
        <v>1.0020000000000001E-3</v>
      </c>
      <c r="M7" t="s">
        <v>102</v>
      </c>
      <c r="N7" s="27">
        <v>2.8630000000000001E-3</v>
      </c>
      <c r="O7" s="27">
        <v>4.8311E-2</v>
      </c>
      <c r="P7" s="27">
        <v>0.27530700000000002</v>
      </c>
      <c r="Q7" s="27">
        <v>0.51362600000000003</v>
      </c>
      <c r="S7" t="s">
        <v>102</v>
      </c>
      <c r="T7" s="27">
        <v>2.885E-3</v>
      </c>
      <c r="U7" s="27">
        <v>5.1577999999999999E-2</v>
      </c>
      <c r="V7" s="27">
        <v>0.27768100000000001</v>
      </c>
      <c r="W7" s="27">
        <v>0.50517599999999996</v>
      </c>
    </row>
    <row r="8" spans="1:23" ht="18" x14ac:dyDescent="0.2">
      <c r="A8" t="s">
        <v>103</v>
      </c>
      <c r="B8" s="27">
        <v>9.9399999999999992E-3</v>
      </c>
      <c r="C8" s="27">
        <v>0.14436399999999999</v>
      </c>
      <c r="D8" s="27">
        <v>0.89703100000000002</v>
      </c>
      <c r="E8" s="27">
        <v>5.8680770000000004</v>
      </c>
      <c r="G8" t="s">
        <v>103</v>
      </c>
      <c r="H8" s="27">
        <v>7.7800000000000005E-4</v>
      </c>
      <c r="I8" s="27">
        <v>9.7900000000000005E-4</v>
      </c>
      <c r="J8" s="27">
        <v>9.1799999999999998E-4</v>
      </c>
      <c r="K8" s="27">
        <v>9.1799999999999998E-4</v>
      </c>
      <c r="M8" t="s">
        <v>103</v>
      </c>
      <c r="N8" s="27">
        <v>2.8630000000000001E-3</v>
      </c>
      <c r="O8" s="27">
        <v>4.8311E-2</v>
      </c>
      <c r="P8" s="27">
        <v>2.1551000000000001E-2</v>
      </c>
      <c r="Q8" s="27">
        <v>3.1411000000000001E-2</v>
      </c>
      <c r="S8" t="s">
        <v>103</v>
      </c>
      <c r="T8" s="27">
        <v>2.885E-3</v>
      </c>
      <c r="U8" s="27">
        <v>5.1577999999999999E-2</v>
      </c>
      <c r="V8" s="27">
        <v>2.0629000000000002E-2</v>
      </c>
      <c r="W8" s="27">
        <v>1.7876E-2</v>
      </c>
    </row>
    <row r="11" spans="1:23" x14ac:dyDescent="0.2">
      <c r="A11" s="2" t="s">
        <v>106</v>
      </c>
      <c r="B11" s="2"/>
      <c r="C11" s="2"/>
      <c r="D11" s="2"/>
      <c r="E11" s="2"/>
      <c r="G11" s="2"/>
      <c r="H11" s="2"/>
      <c r="I11" s="2"/>
      <c r="J11" s="2"/>
      <c r="K11" s="2"/>
    </row>
    <row r="12" spans="1:23" x14ac:dyDescent="0.2">
      <c r="A12" s="2"/>
      <c r="B12" s="2">
        <v>10</v>
      </c>
      <c r="C12" s="2">
        <v>100</v>
      </c>
      <c r="D12" s="2">
        <v>1000</v>
      </c>
      <c r="E12" s="2">
        <v>10000</v>
      </c>
      <c r="G12" s="2"/>
      <c r="H12" s="2"/>
      <c r="I12" s="2"/>
      <c r="J12" s="2"/>
      <c r="K12" s="2"/>
    </row>
    <row r="13" spans="1:23" ht="18" x14ac:dyDescent="0.2">
      <c r="A13" s="2" t="s">
        <v>98</v>
      </c>
      <c r="B13" s="27">
        <v>5.0730000000000003E-3</v>
      </c>
      <c r="C13" s="27">
        <v>0.148647</v>
      </c>
      <c r="D13" s="27">
        <v>0.78645200000000004</v>
      </c>
      <c r="E13" s="27">
        <v>7.7251399999999997</v>
      </c>
      <c r="G13" s="2" t="s">
        <v>111</v>
      </c>
      <c r="H13" s="2"/>
      <c r="I13" s="2"/>
      <c r="J13" s="2"/>
      <c r="K13" s="2"/>
    </row>
    <row r="14" spans="1:23" x14ac:dyDescent="0.2">
      <c r="A14" s="2" t="s">
        <v>100</v>
      </c>
      <c r="B14">
        <f>B13/B12</f>
        <v>5.0730000000000003E-4</v>
      </c>
      <c r="C14">
        <f>C13/C12</f>
        <v>1.4864699999999999E-3</v>
      </c>
      <c r="D14" s="2">
        <f>D13/D12</f>
        <v>7.8645200000000009E-4</v>
      </c>
      <c r="E14" s="2">
        <f>E13/E12</f>
        <v>7.7251399999999997E-4</v>
      </c>
      <c r="G14" s="2"/>
      <c r="H14" s="2"/>
      <c r="I14" s="2"/>
      <c r="J14" s="2"/>
      <c r="K14" s="2"/>
    </row>
    <row r="15" spans="1:23" x14ac:dyDescent="0.2">
      <c r="A15" s="2" t="s">
        <v>99</v>
      </c>
      <c r="B15">
        <f>1/B14</f>
        <v>1971.2201852946973</v>
      </c>
      <c r="C15">
        <f>1/C14</f>
        <v>672.73473396704946</v>
      </c>
      <c r="D15" s="2">
        <f>1/D14</f>
        <v>1271.5334184413034</v>
      </c>
      <c r="E15" s="2">
        <f>1/E14</f>
        <v>1294.4749221373336</v>
      </c>
      <c r="G15" s="2"/>
      <c r="H15" s="2"/>
      <c r="I15" s="2"/>
      <c r="J15" s="2"/>
      <c r="K15" s="2"/>
    </row>
    <row r="16" spans="1:23" ht="18" x14ac:dyDescent="0.2">
      <c r="A16" s="2" t="s">
        <v>101</v>
      </c>
      <c r="B16" s="27">
        <v>1E-4</v>
      </c>
      <c r="C16" s="27">
        <v>2.8E-5</v>
      </c>
      <c r="D16" s="2"/>
      <c r="E16" s="2"/>
      <c r="G16" s="2"/>
      <c r="H16" s="2"/>
      <c r="I16" s="2"/>
      <c r="J16" s="2"/>
      <c r="K16" s="2"/>
    </row>
    <row r="17" spans="1:11" ht="18" x14ac:dyDescent="0.2">
      <c r="A17" s="2" t="s">
        <v>102</v>
      </c>
      <c r="B17" s="27">
        <v>1.9580000000000001E-3</v>
      </c>
      <c r="C17" s="27">
        <v>2.8938999999999999E-2</v>
      </c>
      <c r="D17" s="27">
        <v>0.108019</v>
      </c>
      <c r="E17" s="27">
        <v>0.150508</v>
      </c>
      <c r="G17" s="2"/>
      <c r="H17" s="2"/>
      <c r="I17" s="2"/>
      <c r="J17" s="2"/>
      <c r="K17" s="2"/>
    </row>
    <row r="18" spans="1:11" ht="18" x14ac:dyDescent="0.2">
      <c r="A18" s="2" t="s">
        <v>103</v>
      </c>
      <c r="B18" s="27">
        <v>1.9580000000000001E-3</v>
      </c>
      <c r="C18" s="27">
        <v>2.8938999999999999E-2</v>
      </c>
      <c r="D18" s="27">
        <v>8.2419999999999993E-3</v>
      </c>
      <c r="E18" s="27">
        <v>6.1221999999999999E-2</v>
      </c>
      <c r="G18" s="2"/>
      <c r="H18" s="2"/>
      <c r="I18" s="2"/>
      <c r="J18" s="2"/>
      <c r="K18" s="2"/>
    </row>
    <row r="22" spans="1:11" x14ac:dyDescent="0.2">
      <c r="A22" s="9" t="s">
        <v>99</v>
      </c>
    </row>
    <row r="23" spans="1:11" x14ac:dyDescent="0.2">
      <c r="A23" t="s">
        <v>107</v>
      </c>
      <c r="B23" s="2">
        <v>10</v>
      </c>
      <c r="C23" s="2">
        <v>100</v>
      </c>
      <c r="D23" s="2">
        <v>1000</v>
      </c>
      <c r="E23" s="2">
        <v>10000</v>
      </c>
    </row>
    <row r="24" spans="1:11" x14ac:dyDescent="0.2">
      <c r="A24" t="s">
        <v>109</v>
      </c>
      <c r="B24">
        <f>H5</f>
        <v>1402.5245441795232</v>
      </c>
      <c r="C24">
        <f t="shared" ref="C24:E24" si="8">I5</f>
        <v>1439.9470099500338</v>
      </c>
      <c r="D24">
        <f t="shared" si="8"/>
        <v>2400.0787225821005</v>
      </c>
      <c r="E24">
        <f t="shared" si="8"/>
        <v>2035.3333876088905</v>
      </c>
    </row>
    <row r="25" spans="1:11" x14ac:dyDescent="0.2">
      <c r="A25" t="s">
        <v>73</v>
      </c>
      <c r="B25">
        <f>B5</f>
        <v>296.92092995635261</v>
      </c>
      <c r="C25">
        <f t="shared" ref="C25:E25" si="9">C5</f>
        <v>38.27472834511557</v>
      </c>
      <c r="D25">
        <f t="shared" si="9"/>
        <v>5.1074609789981205</v>
      </c>
      <c r="E25">
        <f t="shared" si="9"/>
        <v>3.0494684776443468</v>
      </c>
    </row>
    <row r="26" spans="1:11" x14ac:dyDescent="0.2">
      <c r="A26" t="s">
        <v>108</v>
      </c>
      <c r="B26">
        <f>B15</f>
        <v>1971.2201852946973</v>
      </c>
      <c r="C26">
        <f t="shared" ref="C26:E26" si="10">C15</f>
        <v>672.73473396704946</v>
      </c>
      <c r="D26">
        <f t="shared" si="10"/>
        <v>1271.5334184413034</v>
      </c>
      <c r="E26">
        <f t="shared" si="10"/>
        <v>1294.4749221373336</v>
      </c>
    </row>
    <row r="27" spans="1:11" x14ac:dyDescent="0.2">
      <c r="A27" t="s">
        <v>113</v>
      </c>
      <c r="B27">
        <f>N5</f>
        <v>1290.1561088891756</v>
      </c>
      <c r="C27">
        <f t="shared" ref="C27:E27" si="11">O5</f>
        <v>427.9118330459192</v>
      </c>
      <c r="D27">
        <f t="shared" si="11"/>
        <v>448.4606587887078</v>
      </c>
      <c r="E27">
        <f t="shared" si="11"/>
        <v>440.94238205893635</v>
      </c>
    </row>
    <row r="28" spans="1:11" x14ac:dyDescent="0.2">
      <c r="A28" t="s">
        <v>118</v>
      </c>
      <c r="B28">
        <f>T5</f>
        <v>1288.8258796236628</v>
      </c>
      <c r="C28">
        <f t="shared" ref="C28:E28" si="12">U5</f>
        <v>393.12193856290344</v>
      </c>
      <c r="D28">
        <f t="shared" si="12"/>
        <v>476.96497646177846</v>
      </c>
      <c r="E28">
        <f t="shared" si="12"/>
        <v>561.30897252392583</v>
      </c>
    </row>
    <row r="30" spans="1:11" x14ac:dyDescent="0.2">
      <c r="A30" s="9" t="s">
        <v>110</v>
      </c>
    </row>
    <row r="31" spans="1:11" x14ac:dyDescent="0.2">
      <c r="A31" t="s">
        <v>107</v>
      </c>
      <c r="B31" s="2">
        <v>10</v>
      </c>
      <c r="C31" s="2">
        <v>100</v>
      </c>
      <c r="D31" s="2">
        <v>1000</v>
      </c>
      <c r="E31" s="2">
        <v>10000</v>
      </c>
    </row>
    <row r="32" spans="1:11" x14ac:dyDescent="0.2">
      <c r="A32" t="s">
        <v>109</v>
      </c>
      <c r="B32">
        <f>H8</f>
        <v>7.7800000000000005E-4</v>
      </c>
      <c r="C32">
        <f>I8</f>
        <v>9.7900000000000005E-4</v>
      </c>
      <c r="D32">
        <f>J8</f>
        <v>9.1799999999999998E-4</v>
      </c>
      <c r="E32">
        <f>K8</f>
        <v>9.1799999999999998E-4</v>
      </c>
    </row>
    <row r="33" spans="1:5" x14ac:dyDescent="0.2">
      <c r="A33" t="s">
        <v>73</v>
      </c>
      <c r="B33">
        <f>B8</f>
        <v>9.9399999999999992E-3</v>
      </c>
      <c r="C33">
        <f>C8</f>
        <v>0.14436399999999999</v>
      </c>
      <c r="D33">
        <f>D8</f>
        <v>0.89703100000000002</v>
      </c>
      <c r="E33">
        <f>E8</f>
        <v>5.8680770000000004</v>
      </c>
    </row>
    <row r="34" spans="1:5" x14ac:dyDescent="0.2">
      <c r="A34" t="s">
        <v>108</v>
      </c>
      <c r="B34">
        <f>B18</f>
        <v>1.9580000000000001E-3</v>
      </c>
      <c r="C34">
        <f>C18</f>
        <v>2.8938999999999999E-2</v>
      </c>
      <c r="D34">
        <f>D18</f>
        <v>8.2419999999999993E-3</v>
      </c>
      <c r="E34">
        <f>E18</f>
        <v>6.1221999999999999E-2</v>
      </c>
    </row>
    <row r="35" spans="1:5" x14ac:dyDescent="0.2">
      <c r="A35" t="s">
        <v>113</v>
      </c>
      <c r="B35">
        <f>N8</f>
        <v>2.8630000000000001E-3</v>
      </c>
      <c r="C35">
        <f>O8</f>
        <v>4.8311E-2</v>
      </c>
      <c r="D35">
        <f>P8</f>
        <v>2.1551000000000001E-2</v>
      </c>
      <c r="E35">
        <f>Q8</f>
        <v>3.1411000000000001E-2</v>
      </c>
    </row>
    <row r="36" spans="1:5" x14ac:dyDescent="0.2">
      <c r="A36" t="s">
        <v>118</v>
      </c>
      <c r="B36">
        <f>T8</f>
        <v>2.885E-3</v>
      </c>
      <c r="C36">
        <f t="shared" ref="C36:D36" si="13">U8</f>
        <v>5.1577999999999999E-2</v>
      </c>
      <c r="D36">
        <f t="shared" si="13"/>
        <v>2.0629000000000002E-2</v>
      </c>
      <c r="E36">
        <f>W8</f>
        <v>1.7876E-2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Indexing</vt:lpstr>
      <vt:lpstr>Sheet2</vt:lpstr>
      <vt:lpstr>Query Evaluation</vt:lpstr>
      <vt:lpstr>Query Evaluation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2021-09-26T07:31:13Z</dcterms:created>
  <dcterms:modified xsi:type="dcterms:W3CDTF">2022-01-01T01:25:39Z</dcterms:modified>
</cp:coreProperties>
</file>