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267\Desktop\"/>
    </mc:Choice>
  </mc:AlternateContent>
  <xr:revisionPtr revIDLastSave="0" documentId="13_ncr:1_{104371BA-3488-4316-8EB8-3E6FE26A8A73}" xr6:coauthVersionLast="45" xr6:coauthVersionMax="45" xr10:uidLastSave="{00000000-0000-0000-0000-000000000000}"/>
  <bookViews>
    <workbookView xWindow="2325" yWindow="1605" windowWidth="22185" windowHeight="13965" xr2:uid="{00000000-000D-0000-FFFF-FFFF00000000}"/>
  </bookViews>
  <sheets>
    <sheet name="Dataset collection" sheetId="1" r:id="rId1"/>
    <sheet name="Benchmarking" sheetId="3" r:id="rId2"/>
    <sheet name="Field" sheetId="2" r:id="rId3"/>
  </sheets>
  <definedNames>
    <definedName name="_xlnm._FilterDatabase" localSheetId="0" hidden="1">'Dataset collection'!$C$1:$L$45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2" i="1" l="1"/>
  <c r="AD17" i="1"/>
  <c r="AD14" i="1"/>
  <c r="AD18" i="1"/>
  <c r="AD8" i="1"/>
  <c r="AD5" i="1"/>
  <c r="AD10" i="1"/>
  <c r="Z24" i="1"/>
  <c r="Z22" i="1"/>
  <c r="Z21" i="1"/>
  <c r="Z16" i="1"/>
  <c r="Z14" i="1"/>
  <c r="Z13" i="1"/>
  <c r="Z12" i="1"/>
  <c r="Z8" i="1"/>
  <c r="Z7" i="1"/>
  <c r="Z4" i="1"/>
  <c r="Z10" i="1"/>
  <c r="Z2" i="1"/>
  <c r="T24" i="1"/>
  <c r="AD24" i="1" s="1"/>
  <c r="T23" i="1"/>
  <c r="Z23" i="1" s="1"/>
  <c r="T22" i="1"/>
  <c r="T21" i="1"/>
  <c r="AD21" i="1" s="1"/>
  <c r="T20" i="1"/>
  <c r="Z20" i="1" s="1"/>
  <c r="T17" i="1"/>
  <c r="Z17" i="1" s="1"/>
  <c r="T16" i="1"/>
  <c r="AD16" i="1" s="1"/>
  <c r="T15" i="1"/>
  <c r="Z15" i="1" s="1"/>
  <c r="T14" i="1"/>
  <c r="T13" i="1"/>
  <c r="AD13" i="1" s="1"/>
  <c r="T19" i="1"/>
  <c r="Z19" i="1" s="1"/>
  <c r="T18" i="1"/>
  <c r="Z18" i="1" s="1"/>
  <c r="T12" i="1"/>
  <c r="AD12" i="1" s="1"/>
  <c r="T11" i="1"/>
  <c r="Z11" i="1" s="1"/>
  <c r="T8" i="1"/>
  <c r="T7" i="1"/>
  <c r="AD7" i="1" s="1"/>
  <c r="T6" i="1"/>
  <c r="Z6" i="1" s="1"/>
  <c r="T5" i="1"/>
  <c r="Z5" i="1" s="1"/>
  <c r="T4" i="1"/>
  <c r="AD4" i="1" s="1"/>
  <c r="T3" i="1"/>
  <c r="Z3" i="1" s="1"/>
  <c r="T10" i="1"/>
  <c r="T2" i="1"/>
  <c r="AD2" i="1" s="1"/>
  <c r="T9" i="1"/>
  <c r="Z9" i="1" s="1"/>
  <c r="AD9" i="1" l="1"/>
  <c r="AD6" i="1"/>
  <c r="AD19" i="1"/>
  <c r="AD20" i="1"/>
  <c r="AD3" i="1"/>
  <c r="AD11" i="1"/>
  <c r="AD15" i="1"/>
  <c r="AD23" i="1"/>
  <c r="AF24" i="1"/>
  <c r="AF23" i="1"/>
  <c r="AF22" i="1"/>
  <c r="AF21" i="1"/>
  <c r="AF20" i="1"/>
  <c r="AF17" i="1"/>
  <c r="AF16" i="1"/>
  <c r="AF15" i="1"/>
  <c r="AF14" i="1"/>
  <c r="AF13" i="1"/>
  <c r="AF12" i="1"/>
  <c r="AF19" i="1"/>
  <c r="AF18" i="1"/>
  <c r="AF11" i="1"/>
  <c r="AF6" i="1"/>
  <c r="AF8" i="1"/>
  <c r="AF7" i="1"/>
  <c r="AF5" i="1"/>
  <c r="AF4" i="1"/>
  <c r="AF3" i="1"/>
  <c r="AF10" i="1"/>
  <c r="AF2" i="1"/>
  <c r="AF9" i="1"/>
  <c r="AC24" i="1" l="1"/>
  <c r="AC23" i="1"/>
  <c r="AC22" i="1"/>
  <c r="AC21" i="1"/>
  <c r="AC20" i="1"/>
  <c r="AC17" i="1"/>
  <c r="AC16" i="1"/>
  <c r="AC15" i="1"/>
  <c r="AC14" i="1"/>
  <c r="AC13" i="1"/>
  <c r="AC12" i="1"/>
  <c r="AC19" i="1"/>
  <c r="AC18" i="1"/>
  <c r="AC11" i="1"/>
  <c r="AC6" i="1"/>
  <c r="AC8" i="1"/>
  <c r="AC7" i="1"/>
  <c r="AC5" i="1"/>
  <c r="AC4" i="1"/>
  <c r="AC3" i="1"/>
  <c r="AC10" i="1"/>
  <c r="AC2" i="1"/>
  <c r="AC9" i="1"/>
  <c r="AH9" i="1" s="1"/>
  <c r="AE24" i="1"/>
  <c r="AE23" i="1"/>
  <c r="AE22" i="1"/>
  <c r="AE21" i="1"/>
  <c r="AE13" i="1"/>
  <c r="AE16" i="1"/>
  <c r="AE20" i="1"/>
  <c r="AE17" i="1"/>
  <c r="AE12" i="1"/>
  <c r="AE19" i="1"/>
  <c r="AE18" i="1"/>
  <c r="AE15" i="1"/>
  <c r="AE14" i="1"/>
  <c r="AE6" i="1"/>
  <c r="AE3" i="1"/>
  <c r="AE11" i="1"/>
  <c r="AE10" i="1"/>
  <c r="AE2" i="1"/>
  <c r="AE8" i="1"/>
  <c r="AE9" i="1"/>
  <c r="AE7" i="1"/>
  <c r="AE5" i="1"/>
  <c r="AE4" i="1"/>
  <c r="S24" i="1"/>
  <c r="X24" i="1" s="1"/>
  <c r="S23" i="1"/>
  <c r="X23" i="1" s="1"/>
  <c r="S22" i="1"/>
  <c r="X22" i="1" s="1"/>
  <c r="S21" i="1"/>
  <c r="X21" i="1" s="1"/>
  <c r="S13" i="1"/>
  <c r="X13" i="1" s="1"/>
  <c r="S16" i="1"/>
  <c r="X16" i="1" s="1"/>
  <c r="S20" i="1"/>
  <c r="X20" i="1" s="1"/>
  <c r="S17" i="1"/>
  <c r="X17" i="1" s="1"/>
  <c r="S12" i="1"/>
  <c r="X12" i="1" s="1"/>
  <c r="S19" i="1"/>
  <c r="X19" i="1" s="1"/>
  <c r="S18" i="1"/>
  <c r="X18" i="1" s="1"/>
  <c r="S15" i="1"/>
  <c r="X15" i="1" s="1"/>
  <c r="S14" i="1"/>
  <c r="X14" i="1" s="1"/>
  <c r="S6" i="1"/>
  <c r="X6" i="1" s="1"/>
  <c r="S3" i="1"/>
  <c r="X3" i="1" s="1"/>
  <c r="S11" i="1"/>
  <c r="X11" i="1" s="1"/>
  <c r="S10" i="1"/>
  <c r="X10" i="1" s="1"/>
  <c r="S2" i="1"/>
  <c r="X2" i="1" s="1"/>
  <c r="S8" i="1"/>
  <c r="X8" i="1" s="1"/>
  <c r="S9" i="1"/>
  <c r="X9" i="1" s="1"/>
  <c r="S7" i="1"/>
  <c r="X7" i="1" s="1"/>
  <c r="S5" i="1"/>
  <c r="X5" i="1" s="1"/>
  <c r="S4" i="1"/>
  <c r="X4" i="1" s="1"/>
  <c r="Y24" i="1"/>
  <c r="W24" i="1"/>
  <c r="V24" i="1"/>
  <c r="Y23" i="1"/>
  <c r="W23" i="1"/>
  <c r="V23" i="1"/>
  <c r="Y22" i="1"/>
  <c r="W22" i="1"/>
  <c r="V22" i="1"/>
  <c r="Y21" i="1"/>
  <c r="W21" i="1"/>
  <c r="V21" i="1"/>
  <c r="Y13" i="1"/>
  <c r="W13" i="1"/>
  <c r="V13" i="1"/>
  <c r="Y16" i="1"/>
  <c r="W16" i="1"/>
  <c r="V16" i="1"/>
  <c r="Y20" i="1"/>
  <c r="W20" i="1"/>
  <c r="V20" i="1"/>
  <c r="Y17" i="1"/>
  <c r="W17" i="1"/>
  <c r="V17" i="1"/>
  <c r="Y12" i="1"/>
  <c r="W12" i="1"/>
  <c r="V12" i="1"/>
  <c r="Y19" i="1"/>
  <c r="W19" i="1"/>
  <c r="V19" i="1"/>
  <c r="Y18" i="1"/>
  <c r="W18" i="1"/>
  <c r="V18" i="1"/>
  <c r="Y15" i="1"/>
  <c r="W15" i="1"/>
  <c r="V15" i="1"/>
  <c r="Y14" i="1"/>
  <c r="W14" i="1"/>
  <c r="V14" i="1"/>
  <c r="Y6" i="1"/>
  <c r="W6" i="1"/>
  <c r="V6" i="1"/>
  <c r="Y3" i="1"/>
  <c r="W3" i="1"/>
  <c r="V3" i="1"/>
  <c r="Y11" i="1"/>
  <c r="W11" i="1"/>
  <c r="V11" i="1"/>
  <c r="Y10" i="1"/>
  <c r="W10" i="1"/>
  <c r="V10" i="1"/>
  <c r="Y2" i="1"/>
  <c r="W2" i="1"/>
  <c r="V2" i="1"/>
  <c r="Y8" i="1"/>
  <c r="W8" i="1"/>
  <c r="V8" i="1"/>
  <c r="Y9" i="1"/>
  <c r="W9" i="1"/>
  <c r="V9" i="1"/>
  <c r="Y7" i="1"/>
  <c r="W7" i="1"/>
  <c r="V7" i="1"/>
  <c r="Y5" i="1"/>
  <c r="W5" i="1"/>
  <c r="V5" i="1"/>
  <c r="Y4" i="1"/>
  <c r="W4" i="1"/>
  <c r="V4" i="1"/>
  <c r="AH20" i="1" l="1"/>
  <c r="AA4" i="1"/>
  <c r="AH12" i="1"/>
  <c r="AH5" i="1"/>
  <c r="AH19" i="1"/>
  <c r="AH17" i="1"/>
  <c r="AH2" i="1"/>
  <c r="AH8" i="1"/>
  <c r="AH13" i="1"/>
  <c r="AH21" i="1"/>
  <c r="AH10" i="1"/>
  <c r="AH6" i="1"/>
  <c r="AH14" i="1"/>
  <c r="AH22" i="1"/>
  <c r="AH7" i="1"/>
  <c r="AH3" i="1"/>
  <c r="AH11" i="1"/>
  <c r="AH15" i="1"/>
  <c r="AH23" i="1"/>
  <c r="AH4" i="1"/>
  <c r="AH18" i="1"/>
  <c r="AH16" i="1"/>
  <c r="AH24" i="1"/>
  <c r="AA10" i="1"/>
  <c r="AA18" i="1"/>
  <c r="AA13" i="1"/>
  <c r="AA7" i="1"/>
  <c r="AA2" i="1"/>
  <c r="AA3" i="1"/>
  <c r="AA15" i="1"/>
  <c r="AA12" i="1"/>
  <c r="AA16" i="1"/>
  <c r="AA22" i="1"/>
  <c r="AA8" i="1"/>
  <c r="AA14" i="1"/>
  <c r="AA20" i="1"/>
  <c r="AA24" i="1"/>
  <c r="AA9" i="1"/>
  <c r="AA6" i="1"/>
  <c r="AA17" i="1"/>
  <c r="AA23" i="1"/>
  <c r="AA5" i="1"/>
  <c r="AA11" i="1"/>
  <c r="AA19" i="1"/>
  <c r="AA21" i="1"/>
</calcChain>
</file>

<file path=xl/sharedStrings.xml><?xml version="1.0" encoding="utf-8"?>
<sst xmlns="http://schemas.openxmlformats.org/spreadsheetml/2006/main" count="414" uniqueCount="194">
  <si>
    <t>Location</t>
  </si>
  <si>
    <t>Location detail</t>
  </si>
  <si>
    <t>sampling time</t>
  </si>
  <si>
    <t>Data length</t>
  </si>
  <si>
    <t>starting year</t>
  </si>
  <si>
    <t>ending year</t>
  </si>
  <si>
    <t>No of samples</t>
  </si>
  <si>
    <t>Data Quality</t>
  </si>
  <si>
    <t>Reason</t>
  </si>
  <si>
    <t>Remark and Future Work</t>
  </si>
  <si>
    <t>Data Accessibility</t>
  </si>
  <si>
    <t>circuit level</t>
  </si>
  <si>
    <t>Data source</t>
  </si>
  <si>
    <t>Drop-down list options</t>
  </si>
  <si>
    <t>individual</t>
  </si>
  <si>
    <t>sub-circuit</t>
  </si>
  <si>
    <t>substation</t>
  </si>
  <si>
    <t>immediate download</t>
  </si>
  <si>
    <t>within Australia</t>
  </si>
  <si>
    <t>outside Australia</t>
  </si>
  <si>
    <t>high</t>
  </si>
  <si>
    <t>medium</t>
  </si>
  <si>
    <t>low</t>
  </si>
  <si>
    <t>unknown</t>
  </si>
  <si>
    <t>download with additional processing</t>
  </si>
  <si>
    <t>application needed</t>
  </si>
  <si>
    <t>contact CSIRO</t>
  </si>
  <si>
    <t xml:space="preserve">contact someone  </t>
  </si>
  <si>
    <t>payment required</t>
  </si>
  <si>
    <t>Data type</t>
  </si>
  <si>
    <t>Unit</t>
  </si>
  <si>
    <t>Benchmarking</t>
  </si>
  <si>
    <t>PV</t>
  </si>
  <si>
    <t>Load</t>
  </si>
  <si>
    <t>other</t>
  </si>
  <si>
    <t>PV &amp; load</t>
  </si>
  <si>
    <t>Ausgrid Solar home electricity data</t>
  </si>
  <si>
    <t>Smart-Grid Smart-City</t>
  </si>
  <si>
    <t>UK Power Networks Zone</t>
  </si>
  <si>
    <t>MAISY</t>
  </si>
  <si>
    <t>min</t>
  </si>
  <si>
    <t>years</t>
  </si>
  <si>
    <t xml:space="preserve">300 customers were selected from a pool of 15000 with electricity consumption and PV generation of top and bottom 10% customers excluded. Details please see section 2 of this article. 
Load and PV generation profiles have been studied in detail already </t>
  </si>
  <si>
    <t>Ausgrid Zone</t>
  </si>
  <si>
    <t>Actibe Power of general &amp; controlled load, PV generation</t>
  </si>
  <si>
    <t>DNSP</t>
  </si>
  <si>
    <t>DNSP &amp; Aus gov.</t>
  </si>
  <si>
    <t>Details of households, e.g. usage of gas heating, air-conditioning and clothes dryers, are found for certain customers. 
One of the few load/PV profile in Australia. Can be used for correlation study of usage behaviour and electricity consumption</t>
  </si>
  <si>
    <t>UK Power Networks Zone (includes London, Cambridge, Brighton and Dover)</t>
  </si>
  <si>
    <t>months</t>
  </si>
  <si>
    <t>Active/Reactive Power, THD, voltage and current.</t>
  </si>
  <si>
    <t>DNSP in UK</t>
  </si>
  <si>
    <t xml:space="preserve">1-min and 10-min data are available for customers, feeders and network endpoints from mid-June 2014 to early September 2014.
Hourly data is available for period of roughly a year from October 2013 to October 2014. 
Weather for the period of recording data is also provided. 
Detail data and well documented. </t>
  </si>
  <si>
    <t>0.5s – 5mins kW Profile for project-based customer.
Contact the company for free example of data/trial of built-in visualisation tool, and validation of record of data</t>
  </si>
  <si>
    <t>Active Power</t>
  </si>
  <si>
    <t>Project based with documentation</t>
  </si>
  <si>
    <t>Residential Building Energy Efficiency Study</t>
  </si>
  <si>
    <t>Melbourne
Brisbane and Adelaide</t>
  </si>
  <si>
    <t>Active Power, gas and temperature</t>
  </si>
  <si>
    <t>CSIRO project</t>
  </si>
  <si>
    <t>Australian Low Energy Houses (LEH)</t>
  </si>
  <si>
    <t xml:space="preserve">Lochiel Park(LP) Green Village in Adelaide, South Australia </t>
  </si>
  <si>
    <t>High data Quality (University of South Australia) with strict selection of houses and installation of monitoring system</t>
  </si>
  <si>
    <t>The Reference Energy Disaggregation Data Set</t>
  </si>
  <si>
    <t>Massachusetts, US</t>
  </si>
  <si>
    <t>second</t>
  </si>
  <si>
    <t>weeks</t>
  </si>
  <si>
    <t>Active power, computed reactive power from AC waveform</t>
  </si>
  <si>
    <t xml:space="preserve">Analysis of data see the publication </t>
  </si>
  <si>
    <t>publication of analysed data</t>
  </si>
  <si>
    <t>Household EnergyEnd-use Project (HEEP)</t>
  </si>
  <si>
    <t>New Zealand</t>
  </si>
  <si>
    <t>company BRANZ</t>
  </si>
  <si>
    <t>Reward
Based Tariff (RBT)</t>
  </si>
  <si>
    <t>Energex
and Ergon Zone</t>
  </si>
  <si>
    <t>active power of general and controlled load, PV generation</t>
  </si>
  <si>
    <r>
      <t xml:space="preserve">Data has been obtained by CSIRO before in this literature (p.18 table 2). 
</t>
    </r>
    <r>
      <rPr>
        <sz val="11"/>
        <rFont val="Calibri"/>
        <family val="2"/>
        <scheme val="minor"/>
      </rPr>
      <t xml:space="preserve">The RBT scheme has use tariff to facilitate lower peak consumption, load profile data may be biased.
</t>
    </r>
  </si>
  <si>
    <t>Original Zone Substation Load Data 
(NEAR Program)</t>
  </si>
  <si>
    <t xml:space="preserve">NSW: Ausgrid, Endeavour Energy 
VIC: CitiPower and Powercor, Jemena, United Energy 
ACT: ActewAGL
SA: SA Power Networks </t>
  </si>
  <si>
    <t>Active Power,
some with reactive power</t>
  </si>
  <si>
    <t>AEMO</t>
  </si>
  <si>
    <t>Victoria, NSW, ACT, SA, QLD and TAS</t>
  </si>
  <si>
    <t>Active power of general and controlled load</t>
  </si>
  <si>
    <t>13 Net System Load Profile (NSLP)
, 8 Controlled Load
Profile (CLP)</t>
  </si>
  <si>
    <t>Common Property Loads in Apartment Buildings</t>
  </si>
  <si>
    <t>Sydney</t>
  </si>
  <si>
    <r>
      <t xml:space="preserve">Study is conducted by UNSW </t>
    </r>
    <r>
      <rPr>
        <sz val="11"/>
        <rFont val="Calibri"/>
        <family val="2"/>
        <scheme val="minor"/>
      </rPr>
      <t xml:space="preserve">which acquires CP loads data of apartments. Table 1 of the study summarise the characteristic of data of each building </t>
    </r>
  </si>
  <si>
    <t>Active power of common property load</t>
  </si>
  <si>
    <t>UNSW study</t>
  </si>
  <si>
    <t>voltages at three phases</t>
  </si>
  <si>
    <t>Literature: Spatio-temporal modelling of electric vehicle charging demand and impacts on peak household electrical load</t>
  </si>
  <si>
    <t xml:space="preserve">Victoria </t>
  </si>
  <si>
    <t>hour</t>
  </si>
  <si>
    <r>
      <rPr>
        <sz val="11"/>
        <color rgb="FFFF0000"/>
        <rFont val="Calibri"/>
        <family val="2"/>
        <scheme val="minor"/>
      </rPr>
      <t>SIMULATED</t>
    </r>
    <r>
      <rPr>
        <sz val="11"/>
        <color theme="1"/>
        <rFont val="Calibri"/>
        <family val="2"/>
        <scheme val="minor"/>
      </rPr>
      <t xml:space="preserve"> House’s Load profiles (active power) with EVs charging/discharging pattern   </t>
    </r>
  </si>
  <si>
    <t>Simulation with 4 variables:
-EV uptake: data from CSIRO literature, 3-month interval
-EV travel: data from VISTA and VicRoad obtained from Victoria government, 1-hour interval
-Household energy and power: simulation of weather and calculation of cooling and heating load from a commercial engine, 1-hour interval
-EV charging and discharging: data=EV travel model, assumed charging at home, 1-hour interval</t>
  </si>
  <si>
    <t>High-resolution Industrial Production Energy (HIPE) data</t>
  </si>
  <si>
    <t>Germany</t>
  </si>
  <si>
    <t>Active/Reactive Power, THD, voltage/current</t>
  </si>
  <si>
    <t>Karlsruhe Institute of Technology, public research university</t>
  </si>
  <si>
    <t>Standardised Zone Substation Gross Solar PV Generation
(NEAR Program)</t>
  </si>
  <si>
    <t>Zone by DNSP in Australia</t>
  </si>
  <si>
    <t>High data quality,
With good documentation</t>
  </si>
  <si>
    <t>With weather data</t>
  </si>
  <si>
    <t>methodology, field names unknown</t>
  </si>
  <si>
    <t>area aggregated</t>
  </si>
  <si>
    <t>PVOutput</t>
  </si>
  <si>
    <t>customer across Australia</t>
  </si>
  <si>
    <t>available data veraies greatly by customers, ranging from 1 to &gt;10 years</t>
  </si>
  <si>
    <t>PV generation by solar panel</t>
  </si>
  <si>
    <t>Small generation unit (SGU) installations</t>
  </si>
  <si>
    <t>Across Australia</t>
  </si>
  <si>
    <t>Measurement</t>
  </si>
  <si>
    <t>Australia Clean energy regulator</t>
  </si>
  <si>
    <t>small-scale PV installations by month and postcode</t>
  </si>
  <si>
    <t>month</t>
  </si>
  <si>
    <t xml:space="preserve">One-minute Solar irradiance </t>
  </si>
  <si>
    <t>Solar irradiance 
(avg,min,max,std,…)</t>
  </si>
  <si>
    <t>Australia Bureau of Meteorology</t>
  </si>
  <si>
    <t>1-minute data is processed instead of real time</t>
  </si>
  <si>
    <t>Public light profile
From Appalachian Power, subsidiary of  American Electric Power</t>
  </si>
  <si>
    <t>US</t>
  </si>
  <si>
    <t>Unclear</t>
  </si>
  <si>
    <t>Active power of public light energy consumption</t>
  </si>
  <si>
    <t>DNSP of US but unknown processing</t>
  </si>
  <si>
    <t xml:space="preserve">datasheet of some low-energy usage utility equipment, e.g. public lightning, CCTV can be found in AEMO website.
</t>
  </si>
  <si>
    <t>Circuit level</t>
  </si>
  <si>
    <t>Sampling time</t>
  </si>
  <si>
    <t>1s - 1min</t>
  </si>
  <si>
    <t>1min-15 min</t>
  </si>
  <si>
    <t>30 min- 1hr</t>
  </si>
  <si>
    <t>No of sample</t>
  </si>
  <si>
    <t>&lt;60</t>
  </si>
  <si>
    <t>&gt;60</t>
  </si>
  <si>
    <t>after 2010</t>
  </si>
  <si>
    <t>before 2010</t>
  </si>
  <si>
    <t>&lt; 1 year</t>
  </si>
  <si>
    <t>1 - 3 years</t>
  </si>
  <si>
    <t>&gt;3 years</t>
  </si>
  <si>
    <t>Criteria</t>
  </si>
  <si>
    <t>boundary</t>
  </si>
  <si>
    <t>score</t>
  </si>
  <si>
    <t xml:space="preserve">Ending year </t>
  </si>
  <si>
    <t>length of data from (2010)</t>
  </si>
  <si>
    <r>
      <t xml:space="preserve">Study of 209 houses (June 2012 to February 2013)
Study of 163 houses (2013-2017)
</t>
    </r>
    <r>
      <rPr>
        <sz val="11"/>
        <rFont val="Calibri"/>
        <family val="2"/>
        <scheme val="minor"/>
      </rPr>
      <t xml:space="preserve">Specific data obtained by CSIRO, contact author of the study for data of metering </t>
    </r>
    <r>
      <rPr>
        <sz val="11"/>
        <color theme="1"/>
        <rFont val="Calibri"/>
        <family val="2"/>
        <scheme val="minor"/>
      </rPr>
      <t xml:space="preserve">
</t>
    </r>
  </si>
  <si>
    <r>
      <t>Study done by University of South Australia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Specific data for LEH in LP Green Village in Adelaide. Contact authors of the study for raw data</t>
    </r>
  </si>
  <si>
    <r>
      <rPr>
        <sz val="11"/>
        <rFont val="Calibri"/>
        <family val="2"/>
        <scheme val="minor"/>
      </rPr>
      <t xml:space="preserve">Location and type of measurement see sections 1.1 and 4.1 respectively of the </t>
    </r>
    <r>
      <rPr>
        <sz val="11"/>
        <color theme="1"/>
        <rFont val="Calibri"/>
        <family val="2"/>
        <scheme val="minor"/>
      </rPr>
      <t>project report</t>
    </r>
  </si>
  <si>
    <r>
      <rPr>
        <sz val="11"/>
        <rFont val="Calibri"/>
        <family val="2"/>
        <scheme val="minor"/>
      </rPr>
      <t xml:space="preserve">Request data from DNSP of the missing states at </t>
    </r>
    <r>
      <rPr>
        <sz val="11"/>
        <color theme="1"/>
        <rFont val="Calibri"/>
        <family val="2"/>
        <scheme val="minor"/>
      </rPr>
      <t>Australia Energy Regulator website</t>
    </r>
  </si>
  <si>
    <r>
      <rPr>
        <sz val="11"/>
        <rFont val="Calibri"/>
        <family val="2"/>
        <scheme val="minor"/>
      </rPr>
      <t xml:space="preserve">Load profiles of 11 machines for an electronics factory, see </t>
    </r>
    <r>
      <rPr>
        <sz val="11"/>
        <color theme="1"/>
        <rFont val="Calibri"/>
        <family val="2"/>
        <scheme val="minor"/>
      </rPr>
      <t>their publication</t>
    </r>
  </si>
  <si>
    <t>Website</t>
  </si>
  <si>
    <t xml:space="preserve">Article: 
https://www.tandfonline.com/eprint/J5SazIBS5UZifbuzKYgV/full
</t>
  </si>
  <si>
    <t>dataset download: 
https://data.gov.au/dataset/ds-dga-4e21dea3-9b87-4610-94c7-15a8a77907ef/details</t>
  </si>
  <si>
    <t>dataset download:
https://data.london.gov.uk/dataset/photovoltaic--pv--solar-panel-energy-generation-data</t>
  </si>
  <si>
    <t>company contact: 
https://www.maisy.com/contact.htm</t>
  </si>
  <si>
    <t>dataset download:
http://traces.cs.umass.edu/index.php/Smart/Smart</t>
  </si>
  <si>
    <t>analysis and publication download:
https://ahd.csiro.au/other-data/typical-house-energy-use/</t>
  </si>
  <si>
    <t>publication and contact:
https://www.sciencedirect.com/science/article/pii/S1876610214034018</t>
  </si>
  <si>
    <t>publication and contact:
https://people.csail.mit.edu/mattjj/papers/kddsust2011.pdf</t>
  </si>
  <si>
    <t>report download and contact:
https://d39d3mj7qio96p.cloudfront.net/media/documents/SR221_Energy_use_in_New_Zealand_Households_-_final_HEEP_report.pdf</t>
  </si>
  <si>
    <t>dataset download:
https://near.csiro.au/search?type=advanced&amp;query=Title%2Cis%20exactly%2COriginal%2CAND%2CAny%20field%2Ccontains%2C</t>
  </si>
  <si>
    <t>dataset download: 
https://aemo.com.au/energy-systems/electricity/national-electricity-market-nem/data-nem/metering-data/load-profiles</t>
  </si>
  <si>
    <t>dataset (p.18 of publication) contact:
https://data.csiro.au/dap/SupportingAttachment?collectionId=15331&amp;fileId=916</t>
  </si>
  <si>
    <t>publication and contact:
https://energyconsumersaustralia.worldsecuresystems.com/grants/813/AP%20841%20-%20PV%20and%20Demand.pdf</t>
  </si>
  <si>
    <t>publication and contact:
https://link.springer.com/article/10.1007/s11625-013-0235-3</t>
  </si>
  <si>
    <t>dataset download and publication:
https://www.energystatusdata.kit.edu/hipe.php</t>
  </si>
  <si>
    <t>UMass Trace – Home dataset</t>
  </si>
  <si>
    <t>UMass Trace  –
Solar panels dataset</t>
  </si>
  <si>
    <t>UMass Trace – Apartment dataset</t>
  </si>
  <si>
    <t>dataset download:
https://near.csiro.au/search?type=advanced&amp;query=Title%2Cis%20exactly%2CStandardised%2CAND%2CAny%20field%2Cis%20exactly%2CPV%2520</t>
  </si>
  <si>
    <t>dataset pull instruction and contact: 
https://pvoutput.org/help.html#dataservice</t>
  </si>
  <si>
    <t>dataset download:
http://www.cleanenergyregulator.gov.au/RET/Forms-and-resources/Postcode-data-for-small-scale-installations</t>
  </si>
  <si>
    <t>Several links below:
US public light dataset download:
https://www.appalachianpower.com/account/service/choice/csp/LoadProfiles.aspx
Geelong (Victoria) public light installation alocation and power rating: 
https://data.gov.au/dataset/ds-dga-13fe3bbc-c4b6-4427-adb1-49e8060fc4a0/details?q=public%20light
datashet of Low-energy usage utility equipment:
https://aemo.com.au/en/energy-systems/electricity/national-electricity-market-nem/market-operations/retail-and-metering/metrology-procedures-and-unmetered-loads/update-to-nem-load-table-unmetered-loads-current-proposals</t>
  </si>
  <si>
    <t>dataset download: (submit 'One Minute Solar Data registration form', received email after half an hour with login detail and data access link.  http://reg.bom.gov.au/climate/reg/oneminsolar/</t>
  </si>
  <si>
    <t>Samples&gt;60</t>
  </si>
  <si>
    <t>individual or finer</t>
  </si>
  <si>
    <t>&gt;1 year</t>
  </si>
  <si>
    <t>After 2010</t>
  </si>
  <si>
    <t>&lt;10</t>
  </si>
  <si>
    <t>10-60</t>
  </si>
  <si>
    <t>60-500</t>
  </si>
  <si>
    <t>500-2000</t>
  </si>
  <si>
    <t>&gt;2000</t>
  </si>
  <si>
    <t>Threshold</t>
  </si>
  <si>
    <t>30 min</t>
  </si>
  <si>
    <t>5min-30 min</t>
  </si>
  <si>
    <t xml:space="preserve"> 1hr</t>
  </si>
  <si>
    <t>Length&gt;1year</t>
  </si>
  <si>
    <t>Scale</t>
  </si>
  <si>
    <t>Sampling Time&lt;30min</t>
  </si>
  <si>
    <t>Samples&gt;10</t>
  </si>
  <si>
    <t>ST score</t>
  </si>
  <si>
    <t>LocationScore</t>
  </si>
  <si>
    <t>Total Score</t>
  </si>
  <si>
    <t>Type Score</t>
  </si>
  <si>
    <t>Sample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</si>
</sst>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 applyFont="1" applyAlignment="1">
      <alignment vertical="top" wrapText="1"/>
    </xf>
    <xf numFmtId="0" fontId="0" fillId="0" borderId="0" xfId="0" applyFill="1" applyAlignment="1">
      <alignment wrapText="1"/>
    </xf>
    <xf numFmtId="0" fontId="4" fillId="0" borderId="0" xfId="1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45"/>
  <sheetViews>
    <sheetView tabSelected="1" topLeftCell="S1" zoomScale="85" zoomScaleNormal="85" workbookViewId="0">
      <selection activeCell="AH1" sqref="AH1"/>
    </sheetView>
  </sheetViews>
  <sheetFormatPr defaultRowHeight="15" x14ac:dyDescent="0.25"/>
  <cols>
    <col min="1" max="1" width="20.7109375" style="1" customWidth="1"/>
    <col min="2" max="3" width="20.7109375" style="3" customWidth="1"/>
    <col min="4" max="4" width="20.7109375" style="5" customWidth="1"/>
    <col min="5" max="11" width="20.7109375" style="3" customWidth="1"/>
    <col min="12" max="12" width="20.7109375" style="5" customWidth="1"/>
    <col min="13" max="13" width="20.7109375" style="8" customWidth="1"/>
    <col min="14" max="14" width="20.7109375" style="3" customWidth="1"/>
    <col min="15" max="15" width="20.7109375" style="5" customWidth="1"/>
    <col min="16" max="16" width="49.28515625" style="7" customWidth="1"/>
    <col min="17" max="17" width="20.7109375" style="3" customWidth="1"/>
    <col min="18" max="18" width="99.28515625" style="10" customWidth="1"/>
    <col min="19" max="19" width="12.140625" bestFit="1" customWidth="1"/>
    <col min="20" max="20" width="13.85546875" bestFit="1" customWidth="1"/>
    <col min="24" max="24" width="11.140625" customWidth="1"/>
  </cols>
  <sheetData>
    <row r="1" spans="1:34" x14ac:dyDescent="0.25">
      <c r="A1" s="5" t="s">
        <v>12</v>
      </c>
      <c r="B1" s="3" t="s">
        <v>29</v>
      </c>
      <c r="C1" s="3" t="s">
        <v>0</v>
      </c>
      <c r="D1" s="5" t="s">
        <v>1</v>
      </c>
      <c r="E1" s="3" t="s">
        <v>11</v>
      </c>
      <c r="F1" s="3" t="s">
        <v>2</v>
      </c>
      <c r="G1" s="3" t="s">
        <v>30</v>
      </c>
      <c r="H1" s="3" t="s">
        <v>3</v>
      </c>
      <c r="I1" s="3" t="s">
        <v>30</v>
      </c>
      <c r="J1" s="3" t="s">
        <v>4</v>
      </c>
      <c r="K1" s="3" t="s">
        <v>5</v>
      </c>
      <c r="L1" s="5" t="s">
        <v>6</v>
      </c>
      <c r="M1" s="8" t="s">
        <v>111</v>
      </c>
      <c r="N1" s="3" t="s">
        <v>7</v>
      </c>
      <c r="O1" s="5" t="s">
        <v>8</v>
      </c>
      <c r="P1" s="7" t="s">
        <v>9</v>
      </c>
      <c r="Q1" s="3" t="s">
        <v>10</v>
      </c>
      <c r="R1" s="10" t="s">
        <v>148</v>
      </c>
      <c r="S1" t="s">
        <v>3</v>
      </c>
      <c r="T1" t="s">
        <v>193</v>
      </c>
      <c r="V1" t="s">
        <v>188</v>
      </c>
      <c r="W1" t="s">
        <v>186</v>
      </c>
      <c r="X1" t="s">
        <v>185</v>
      </c>
      <c r="Y1" t="s">
        <v>175</v>
      </c>
      <c r="Z1" t="s">
        <v>187</v>
      </c>
      <c r="AC1" t="s">
        <v>172</v>
      </c>
      <c r="AD1" t="s">
        <v>189</v>
      </c>
      <c r="AE1" t="s">
        <v>190</v>
      </c>
      <c r="AF1" t="s">
        <v>192</v>
      </c>
      <c r="AH1" t="s">
        <v>191</v>
      </c>
    </row>
    <row r="2" spans="1:34" ht="30" customHeight="1" x14ac:dyDescent="0.25">
      <c r="A2" s="1" t="s">
        <v>105</v>
      </c>
      <c r="B2" s="3" t="s">
        <v>32</v>
      </c>
      <c r="C2" s="3" t="s">
        <v>18</v>
      </c>
      <c r="D2" s="5" t="s">
        <v>106</v>
      </c>
      <c r="E2" s="3" t="s">
        <v>14</v>
      </c>
      <c r="F2" s="3">
        <v>5</v>
      </c>
      <c r="G2" s="3" t="s">
        <v>40</v>
      </c>
      <c r="H2" s="3">
        <v>5</v>
      </c>
      <c r="I2" s="3" t="s">
        <v>41</v>
      </c>
      <c r="J2" s="3">
        <v>2010</v>
      </c>
      <c r="K2" s="3">
        <v>2020</v>
      </c>
      <c r="L2" s="5">
        <v>5500</v>
      </c>
      <c r="M2" s="8" t="s">
        <v>54</v>
      </c>
      <c r="N2" s="3" t="s">
        <v>23</v>
      </c>
      <c r="P2" s="7" t="s">
        <v>107</v>
      </c>
      <c r="Q2" s="3" t="s">
        <v>27</v>
      </c>
      <c r="R2" s="11" t="s">
        <v>168</v>
      </c>
      <c r="S2">
        <f>H2/(IF(I2="years",1,0)+IF(I2="months",12,0)+IF(I2="weeks",52,0))</f>
        <v>5</v>
      </c>
      <c r="T2" s="40">
        <f>F2*(IF(G2="month",60*24*30,0)+IF(G2="hour",60,0)+IF(G2="min",1,0)+IF(G2="second",1/60,0))</f>
        <v>5</v>
      </c>
      <c r="V2" t="b">
        <f>L2&gt;10</f>
        <v>1</v>
      </c>
      <c r="W2" t="b">
        <f>OR(E2="individual","circuit level")</f>
        <v>1</v>
      </c>
      <c r="X2" t="b">
        <f>S2&gt;=1</f>
        <v>1</v>
      </c>
      <c r="Y2" t="b">
        <f>K2&gt;=2010</f>
        <v>1</v>
      </c>
      <c r="Z2" t="b">
        <f>T2&lt;=30</f>
        <v>1</v>
      </c>
      <c r="AA2">
        <f>COUNTIF(V2:Z2,TRUE)</f>
        <v>5</v>
      </c>
      <c r="AC2">
        <f>IF(L2&gt;50,2,0)</f>
        <v>2</v>
      </c>
      <c r="AD2">
        <f>IF(T2&lt;=15,1,0)+IF(T2&lt;=10,1,0)+IF(T2&lt;=5,1,0)+IF(T2&lt;=1,1,0)</f>
        <v>3</v>
      </c>
      <c r="AE2">
        <f>IF(C2="within Australia",1,0)</f>
        <v>1</v>
      </c>
      <c r="AF2">
        <f>IF(B2="PV &amp; Load",1,0)</f>
        <v>0</v>
      </c>
      <c r="AH2">
        <f>SUM(AC2:AF2)</f>
        <v>6</v>
      </c>
    </row>
    <row r="3" spans="1:34" ht="30" customHeight="1" x14ac:dyDescent="0.25">
      <c r="A3" s="1" t="s">
        <v>165</v>
      </c>
      <c r="B3" s="3" t="s">
        <v>32</v>
      </c>
      <c r="C3" s="3" t="s">
        <v>19</v>
      </c>
      <c r="D3" s="5" t="s">
        <v>64</v>
      </c>
      <c r="E3" s="3" t="s">
        <v>14</v>
      </c>
      <c r="F3" s="3">
        <v>1</v>
      </c>
      <c r="G3" s="3" t="s">
        <v>40</v>
      </c>
      <c r="H3" s="3">
        <v>1</v>
      </c>
      <c r="I3" s="3" t="s">
        <v>41</v>
      </c>
      <c r="J3" s="3">
        <v>2015</v>
      </c>
      <c r="K3" s="3">
        <v>2015</v>
      </c>
      <c r="L3" s="5">
        <v>50</v>
      </c>
      <c r="M3" s="8" t="s">
        <v>54</v>
      </c>
      <c r="N3" s="3" t="s">
        <v>20</v>
      </c>
      <c r="O3" s="5" t="s">
        <v>108</v>
      </c>
      <c r="Q3" s="3" t="s">
        <v>17</v>
      </c>
      <c r="R3" s="11" t="s">
        <v>153</v>
      </c>
      <c r="S3">
        <f>H3/(IF(I3="years",1,0)+IF(I3="months",12,0)+IF(I3="weeks",52,0))</f>
        <v>1</v>
      </c>
      <c r="T3" s="40">
        <f>F3*(IF(G3="month",60*24*30,0)+IF(G3="hour",60,0)+IF(G3="min",1,0)+IF(G3="second",1/60,0))</f>
        <v>1</v>
      </c>
      <c r="V3" t="b">
        <f>L3&gt;10</f>
        <v>1</v>
      </c>
      <c r="W3" t="b">
        <f>OR(E3="individual","circuit level")</f>
        <v>1</v>
      </c>
      <c r="X3" t="b">
        <f>S3&gt;=1</f>
        <v>1</v>
      </c>
      <c r="Y3" t="b">
        <f>K3&gt;=2010</f>
        <v>1</v>
      </c>
      <c r="Z3" t="b">
        <f>T3&lt;=30</f>
        <v>1</v>
      </c>
      <c r="AA3">
        <f>COUNTIF(V3:Z3,TRUE)</f>
        <v>5</v>
      </c>
      <c r="AC3">
        <f>IF(L3&gt;50,2,0)</f>
        <v>0</v>
      </c>
      <c r="AD3">
        <f>IF(T3&lt;=15,1,0)+IF(T3&lt;=10,1,0)+IF(T3&lt;=5,1,0)+IF(T3&lt;=1,1,0)</f>
        <v>4</v>
      </c>
      <c r="AE3">
        <f>IF(C3="within Australia",1,0)</f>
        <v>0</v>
      </c>
      <c r="AF3">
        <f>IF(B3="PV &amp; Load",1,0)</f>
        <v>0</v>
      </c>
      <c r="AH3">
        <f>SUM(AC3:AF3)</f>
        <v>4</v>
      </c>
    </row>
    <row r="4" spans="1:34" ht="30" customHeight="1" x14ac:dyDescent="0.25">
      <c r="A4" s="2" t="s">
        <v>36</v>
      </c>
      <c r="B4" s="3" t="s">
        <v>35</v>
      </c>
      <c r="C4" s="3" t="s">
        <v>18</v>
      </c>
      <c r="D4" s="5" t="s">
        <v>43</v>
      </c>
      <c r="E4" s="3" t="s">
        <v>14</v>
      </c>
      <c r="F4" s="3">
        <v>30</v>
      </c>
      <c r="G4" s="3" t="s">
        <v>40</v>
      </c>
      <c r="H4" s="3">
        <v>3</v>
      </c>
      <c r="I4" s="3" t="s">
        <v>41</v>
      </c>
      <c r="J4" s="3">
        <v>2010</v>
      </c>
      <c r="K4" s="3">
        <v>2013</v>
      </c>
      <c r="L4" s="5">
        <v>300</v>
      </c>
      <c r="M4" s="8" t="s">
        <v>44</v>
      </c>
      <c r="N4" s="3" t="s">
        <v>20</v>
      </c>
      <c r="O4" s="5" t="s">
        <v>45</v>
      </c>
      <c r="P4" s="7" t="s">
        <v>42</v>
      </c>
      <c r="Q4" s="3" t="s">
        <v>17</v>
      </c>
      <c r="R4" s="12" t="s">
        <v>149</v>
      </c>
      <c r="S4">
        <f>H4/(IF(I4="years",1,0)+IF(I4="months",12,0)+IF(I4="weeks",52,0))</f>
        <v>3</v>
      </c>
      <c r="T4" s="40">
        <f>F4*(IF(G4="month",60*24*30,0)+IF(G4="hour",60,0)+IF(G4="min",1,0)+IF(G4="second",1/60,0))</f>
        <v>30</v>
      </c>
      <c r="V4" t="b">
        <f>L4&gt;10</f>
        <v>1</v>
      </c>
      <c r="W4" t="b">
        <f>OR(E4="individual","circuit level")</f>
        <v>1</v>
      </c>
      <c r="X4" t="b">
        <f>S4&gt;=1</f>
        <v>1</v>
      </c>
      <c r="Y4" t="b">
        <f>K4&gt;=2010</f>
        <v>1</v>
      </c>
      <c r="Z4" t="b">
        <f>T4&lt;=30</f>
        <v>1</v>
      </c>
      <c r="AA4">
        <f>COUNTIF(V4:Z4,TRUE)</f>
        <v>5</v>
      </c>
      <c r="AC4">
        <f>IF(L4&gt;50,2,0)</f>
        <v>2</v>
      </c>
      <c r="AD4">
        <f>IF(T4&lt;=15,1,0)+IF(T4&lt;=10,1,0)+IF(T4&lt;=5,1,0)+IF(T4&lt;=1,1,0)</f>
        <v>0</v>
      </c>
      <c r="AE4">
        <f>IF(C4="within Australia",1,0)</f>
        <v>1</v>
      </c>
      <c r="AF4">
        <f>IF(B4="PV &amp; Load",1,0)</f>
        <v>1</v>
      </c>
      <c r="AH4">
        <f>SUM(AC4:AF4)</f>
        <v>4</v>
      </c>
    </row>
    <row r="5" spans="1:34" ht="30" customHeight="1" x14ac:dyDescent="0.25">
      <c r="A5" s="2" t="s">
        <v>37</v>
      </c>
      <c r="B5" s="3" t="s">
        <v>35</v>
      </c>
      <c r="C5" s="3" t="s">
        <v>18</v>
      </c>
      <c r="D5" s="5" t="s">
        <v>43</v>
      </c>
      <c r="E5" s="3" t="s">
        <v>14</v>
      </c>
      <c r="F5" s="3">
        <v>30</v>
      </c>
      <c r="G5" s="3" t="s">
        <v>40</v>
      </c>
      <c r="H5" s="3">
        <v>2</v>
      </c>
      <c r="I5" s="3" t="s">
        <v>41</v>
      </c>
      <c r="J5" s="3">
        <v>2010</v>
      </c>
      <c r="K5" s="3">
        <v>2014</v>
      </c>
      <c r="L5" s="5">
        <v>78200</v>
      </c>
      <c r="M5" s="8" t="s">
        <v>44</v>
      </c>
      <c r="N5" s="3" t="s">
        <v>20</v>
      </c>
      <c r="O5" s="5" t="s">
        <v>46</v>
      </c>
      <c r="P5" s="7" t="s">
        <v>47</v>
      </c>
      <c r="Q5" s="3" t="s">
        <v>17</v>
      </c>
      <c r="R5" s="11" t="s">
        <v>150</v>
      </c>
      <c r="S5">
        <f>H5/(IF(I5="years",1,0)+IF(I5="months",12,0)+IF(I5="weeks",52,0))</f>
        <v>2</v>
      </c>
      <c r="T5" s="40">
        <f>F5*(IF(G5="month",60*24*30,0)+IF(G5="hour",60,0)+IF(G5="min",1,0)+IF(G5="second",1/60,0))</f>
        <v>30</v>
      </c>
      <c r="V5" t="b">
        <f>L5&gt;10</f>
        <v>1</v>
      </c>
      <c r="W5" t="b">
        <f>OR(E5="individual","circuit level")</f>
        <v>1</v>
      </c>
      <c r="X5" t="b">
        <f>S5&gt;=1</f>
        <v>1</v>
      </c>
      <c r="Y5" t="b">
        <f>K5&gt;=2010</f>
        <v>1</v>
      </c>
      <c r="Z5" t="b">
        <f>T5&lt;=30</f>
        <v>1</v>
      </c>
      <c r="AA5">
        <f>COUNTIF(V5:Z5,TRUE)</f>
        <v>5</v>
      </c>
      <c r="AC5">
        <f>IF(L5&gt;50,2,0)</f>
        <v>2</v>
      </c>
      <c r="AD5">
        <f>IF(T5&lt;=15,1,0)+IF(T5&lt;=10,1,0)+IF(T5&lt;=5,1,0)+IF(T5&lt;=1,1,0)</f>
        <v>0</v>
      </c>
      <c r="AE5">
        <f>IF(C5="within Australia",1,0)</f>
        <v>1</v>
      </c>
      <c r="AF5">
        <f>IF(B5="PV &amp; Load",1,0)</f>
        <v>1</v>
      </c>
      <c r="AH5">
        <f>SUM(AC5:AF5)</f>
        <v>4</v>
      </c>
    </row>
    <row r="6" spans="1:34" ht="30" customHeight="1" x14ac:dyDescent="0.25">
      <c r="A6" s="4" t="s">
        <v>39</v>
      </c>
      <c r="B6" s="3" t="s">
        <v>35</v>
      </c>
      <c r="C6" s="3" t="s">
        <v>19</v>
      </c>
      <c r="D6" s="5" t="s">
        <v>64</v>
      </c>
      <c r="E6" s="3" t="s">
        <v>14</v>
      </c>
      <c r="F6" s="3">
        <v>15</v>
      </c>
      <c r="G6" s="3" t="s">
        <v>40</v>
      </c>
      <c r="H6" s="3">
        <v>1</v>
      </c>
      <c r="I6" s="3" t="s">
        <v>41</v>
      </c>
      <c r="J6" s="3">
        <v>1999</v>
      </c>
      <c r="K6" s="3">
        <v>2020</v>
      </c>
      <c r="L6" s="5">
        <v>7000000</v>
      </c>
      <c r="P6" s="7" t="s">
        <v>53</v>
      </c>
      <c r="Q6" s="3" t="s">
        <v>28</v>
      </c>
      <c r="R6" s="11" t="s">
        <v>152</v>
      </c>
      <c r="S6">
        <f>H6/(IF(I6="years",1,0)+IF(I6="months",12,0)+IF(I6="weeks",52,0))</f>
        <v>1</v>
      </c>
      <c r="T6" s="40">
        <f>F6*(IF(G6="month",60*24*30,0)+IF(G6="hour",60,0)+IF(G6="min",1,0)+IF(G6="second",1/60,0))</f>
        <v>15</v>
      </c>
      <c r="V6" t="b">
        <f>L6&gt;10</f>
        <v>1</v>
      </c>
      <c r="W6" t="b">
        <f>OR(E6="individual","circuit level")</f>
        <v>1</v>
      </c>
      <c r="X6" t="b">
        <f>S6&gt;=1</f>
        <v>1</v>
      </c>
      <c r="Y6" t="b">
        <f>K6&gt;=2010</f>
        <v>1</v>
      </c>
      <c r="Z6" t="b">
        <f>T6&lt;=30</f>
        <v>1</v>
      </c>
      <c r="AA6">
        <f>COUNTIF(V6:Z6,TRUE)</f>
        <v>5</v>
      </c>
      <c r="AC6">
        <f>IF(L6&gt;50,2,0)</f>
        <v>2</v>
      </c>
      <c r="AD6">
        <f>IF(T6&lt;=15,1,0)+IF(T6&lt;=10,1,0)+IF(T6&lt;=5,1,0)+IF(T6&lt;=1,1,0)</f>
        <v>1</v>
      </c>
      <c r="AE6">
        <f>IF(C6="within Australia",1,0)</f>
        <v>0</v>
      </c>
      <c r="AF6">
        <f>IF(B6="PV &amp; Load",1,0)</f>
        <v>1</v>
      </c>
      <c r="AH6">
        <f>SUM(AC6:AF6)</f>
        <v>4</v>
      </c>
    </row>
    <row r="7" spans="1:34" ht="30" customHeight="1" x14ac:dyDescent="0.25">
      <c r="A7" s="1" t="s">
        <v>73</v>
      </c>
      <c r="B7" s="3" t="s">
        <v>33</v>
      </c>
      <c r="C7" s="3" t="s">
        <v>18</v>
      </c>
      <c r="D7" s="5" t="s">
        <v>74</v>
      </c>
      <c r="E7" s="3" t="s">
        <v>14</v>
      </c>
      <c r="F7" s="3">
        <v>30</v>
      </c>
      <c r="G7" s="3" t="s">
        <v>40</v>
      </c>
      <c r="H7" s="3">
        <v>2</v>
      </c>
      <c r="I7" s="3" t="s">
        <v>41</v>
      </c>
      <c r="J7" s="3">
        <v>2011</v>
      </c>
      <c r="K7" s="3">
        <v>2013</v>
      </c>
      <c r="L7" s="5">
        <v>504</v>
      </c>
      <c r="M7" s="8" t="s">
        <v>75</v>
      </c>
      <c r="N7" s="3" t="s">
        <v>20</v>
      </c>
      <c r="O7" s="5" t="s">
        <v>45</v>
      </c>
      <c r="P7" s="9" t="s">
        <v>76</v>
      </c>
      <c r="Q7" s="3" t="s">
        <v>26</v>
      </c>
      <c r="R7" s="11" t="s">
        <v>160</v>
      </c>
      <c r="S7">
        <f>H7/(IF(I7="years",1,0)+IF(I7="months",12,0)+IF(I7="weeks",52,0))</f>
        <v>2</v>
      </c>
      <c r="T7" s="40">
        <f>F7*(IF(G7="month",60*24*30,0)+IF(G7="hour",60,0)+IF(G7="min",1,0)+IF(G7="second",1/60,0))</f>
        <v>30</v>
      </c>
      <c r="V7" t="b">
        <f>L7&gt;10</f>
        <v>1</v>
      </c>
      <c r="W7" t="b">
        <f>OR(E7="individual","circuit level")</f>
        <v>1</v>
      </c>
      <c r="X7" t="b">
        <f>S7&gt;=1</f>
        <v>1</v>
      </c>
      <c r="Y7" t="b">
        <f>K7&gt;=2010</f>
        <v>1</v>
      </c>
      <c r="Z7" t="b">
        <f>T7&lt;=30</f>
        <v>1</v>
      </c>
      <c r="AA7">
        <f>COUNTIF(V7:Z7,TRUE)</f>
        <v>5</v>
      </c>
      <c r="AC7">
        <f>IF(L7&gt;50,2,0)</f>
        <v>2</v>
      </c>
      <c r="AD7">
        <f>IF(T7&lt;=15,1,0)+IF(T7&lt;=10,1,0)+IF(T7&lt;=5,1,0)+IF(T7&lt;=1,1,0)</f>
        <v>0</v>
      </c>
      <c r="AE7">
        <f>IF(C7="within Australia",1,0)</f>
        <v>1</v>
      </c>
      <c r="AF7">
        <f>IF(B7="PV &amp; Load",1,0)</f>
        <v>0</v>
      </c>
      <c r="AH7">
        <f>SUM(AC7:AF7)</f>
        <v>3</v>
      </c>
    </row>
    <row r="8" spans="1:34" ht="30" customHeight="1" x14ac:dyDescent="0.25">
      <c r="A8" s="1" t="s">
        <v>166</v>
      </c>
      <c r="B8" s="3" t="s">
        <v>33</v>
      </c>
      <c r="C8" s="3" t="s">
        <v>19</v>
      </c>
      <c r="D8" s="5" t="s">
        <v>64</v>
      </c>
      <c r="E8" s="3" t="s">
        <v>14</v>
      </c>
      <c r="F8" s="3">
        <v>15</v>
      </c>
      <c r="G8" s="3" t="s">
        <v>40</v>
      </c>
      <c r="H8" s="3">
        <v>2</v>
      </c>
      <c r="I8" s="3" t="s">
        <v>41</v>
      </c>
      <c r="J8" s="3">
        <v>2014</v>
      </c>
      <c r="K8" s="3">
        <v>2016</v>
      </c>
      <c r="L8" s="5">
        <v>114</v>
      </c>
      <c r="M8" s="8" t="s">
        <v>54</v>
      </c>
      <c r="N8" s="3" t="s">
        <v>20</v>
      </c>
      <c r="O8" s="5" t="s">
        <v>101</v>
      </c>
      <c r="P8" s="7" t="s">
        <v>102</v>
      </c>
      <c r="Q8" s="3" t="s">
        <v>17</v>
      </c>
      <c r="R8" s="11" t="s">
        <v>153</v>
      </c>
      <c r="S8">
        <f>H8/(IF(I8="years",1,0)+IF(I8="months",12,0)+IF(I8="weeks",52,0))</f>
        <v>2</v>
      </c>
      <c r="T8" s="40">
        <f>F8*(IF(G8="month",60*24*30,0)+IF(G8="hour",60,0)+IF(G8="min",1,0)+IF(G8="second",1/60,0))</f>
        <v>15</v>
      </c>
      <c r="V8" t="b">
        <f>L8&gt;10</f>
        <v>1</v>
      </c>
      <c r="W8" t="b">
        <f>OR(E8="individual","circuit level")</f>
        <v>1</v>
      </c>
      <c r="X8" t="b">
        <f>S8&gt;=1</f>
        <v>1</v>
      </c>
      <c r="Y8" t="b">
        <f>K8&gt;=2010</f>
        <v>1</v>
      </c>
      <c r="Z8" t="b">
        <f>T8&lt;=30</f>
        <v>1</v>
      </c>
      <c r="AA8">
        <f>COUNTIF(V8:Z8,TRUE)</f>
        <v>5</v>
      </c>
      <c r="AC8">
        <f>IF(L8&gt;50,2,0)</f>
        <v>2</v>
      </c>
      <c r="AD8">
        <f>IF(T8&lt;=15,1,0)+IF(T8&lt;=10,1,0)+IF(T8&lt;=5,1,0)+IF(T8&lt;=1,1,0)</f>
        <v>1</v>
      </c>
      <c r="AE8">
        <f>IF(C8="within Australia",1,0)</f>
        <v>0</v>
      </c>
      <c r="AF8">
        <f>IF(B8="PV &amp; Load",1,0)</f>
        <v>0</v>
      </c>
      <c r="AH8">
        <f>SUM(AC8:AF8)</f>
        <v>3</v>
      </c>
    </row>
    <row r="9" spans="1:34" ht="30" customHeight="1" x14ac:dyDescent="0.25">
      <c r="A9" s="1" t="s">
        <v>90</v>
      </c>
      <c r="B9" s="3" t="s">
        <v>33</v>
      </c>
      <c r="C9" s="3" t="s">
        <v>18</v>
      </c>
      <c r="D9" s="5" t="s">
        <v>91</v>
      </c>
      <c r="E9" s="3" t="s">
        <v>14</v>
      </c>
      <c r="F9" s="3">
        <v>1</v>
      </c>
      <c r="G9" s="3" t="s">
        <v>92</v>
      </c>
      <c r="H9" s="3">
        <v>1</v>
      </c>
      <c r="I9" s="3" t="s">
        <v>41</v>
      </c>
      <c r="J9" s="3">
        <v>2033</v>
      </c>
      <c r="K9" s="3">
        <v>2033</v>
      </c>
      <c r="L9" s="5">
        <v>250</v>
      </c>
      <c r="M9" s="8" t="s">
        <v>93</v>
      </c>
      <c r="N9" s="3" t="s">
        <v>20</v>
      </c>
      <c r="O9" s="5" t="s">
        <v>59</v>
      </c>
      <c r="P9" s="7" t="s">
        <v>94</v>
      </c>
      <c r="Q9" s="3" t="s">
        <v>26</v>
      </c>
      <c r="R9" s="11" t="s">
        <v>162</v>
      </c>
      <c r="S9">
        <f>H9/(IF(I9="years",1,0)+IF(I9="months",12,0)+IF(I9="weeks",52,0))</f>
        <v>1</v>
      </c>
      <c r="T9" s="40">
        <f>F9*(IF(G9="month",60*24*30,0)+IF(G9="hour",60,0)+IF(G9="min",1,0)+IF(G9="second",1/60,0))</f>
        <v>60</v>
      </c>
      <c r="V9" t="b">
        <f>L9&gt;10</f>
        <v>1</v>
      </c>
      <c r="W9" t="b">
        <f>OR(E9="individual","circuit level")</f>
        <v>1</v>
      </c>
      <c r="X9" t="b">
        <f>S9&gt;=1</f>
        <v>1</v>
      </c>
      <c r="Y9" t="b">
        <f>K9&gt;=2010</f>
        <v>1</v>
      </c>
      <c r="Z9" t="b">
        <f>T9&lt;=30</f>
        <v>0</v>
      </c>
      <c r="AA9">
        <f>COUNTIF(V9:Z9,TRUE)</f>
        <v>4</v>
      </c>
      <c r="AC9">
        <f>IF(L9&gt;50,2,0)</f>
        <v>2</v>
      </c>
      <c r="AD9">
        <f>IF(T9&lt;=15,1,0)+IF(T9&lt;=10,1,0)+IF(T9&lt;=5,1,0)+IF(T9&lt;=1,1,0)</f>
        <v>0</v>
      </c>
      <c r="AE9">
        <f>IF(C9="within Australia",1,0)</f>
        <v>1</v>
      </c>
      <c r="AF9">
        <f>IF(B9="PV &amp; Load",1,0)</f>
        <v>0</v>
      </c>
      <c r="AH9">
        <f>SUM(AC9:AF9)</f>
        <v>3</v>
      </c>
    </row>
    <row r="10" spans="1:34" ht="30" customHeight="1" x14ac:dyDescent="0.25">
      <c r="A10" s="15" t="s">
        <v>119</v>
      </c>
      <c r="B10" s="3" t="s">
        <v>33</v>
      </c>
      <c r="C10" s="3" t="s">
        <v>19</v>
      </c>
      <c r="D10" s="5" t="s">
        <v>120</v>
      </c>
      <c r="E10" s="3" t="s">
        <v>14</v>
      </c>
      <c r="F10" s="3">
        <v>1</v>
      </c>
      <c r="G10" s="3" t="s">
        <v>92</v>
      </c>
      <c r="H10" s="3">
        <v>1</v>
      </c>
      <c r="I10" s="3" t="s">
        <v>41</v>
      </c>
      <c r="J10" s="3">
        <v>2016</v>
      </c>
      <c r="K10" s="3">
        <v>2016</v>
      </c>
      <c r="L10" s="5" t="s">
        <v>121</v>
      </c>
      <c r="M10" s="8" t="s">
        <v>122</v>
      </c>
      <c r="N10" s="3" t="s">
        <v>23</v>
      </c>
      <c r="O10" s="5" t="s">
        <v>123</v>
      </c>
      <c r="P10" s="7" t="s">
        <v>124</v>
      </c>
      <c r="Q10" s="3" t="s">
        <v>17</v>
      </c>
      <c r="R10" s="11" t="s">
        <v>170</v>
      </c>
      <c r="S10">
        <f>H10/(IF(I10="years",1,0)+IF(I10="months",12,0)+IF(I10="weeks",52,0))</f>
        <v>1</v>
      </c>
      <c r="T10" s="40">
        <f>F10*(IF(G10="month",60*24*30,0)+IF(G10="hour",60,0)+IF(G10="min",1,0)+IF(G10="second",1/60,0))</f>
        <v>60</v>
      </c>
      <c r="V10" t="b">
        <f>L10&gt;10</f>
        <v>1</v>
      </c>
      <c r="W10" t="b">
        <f>OR(E10="individual","circuit level")</f>
        <v>1</v>
      </c>
      <c r="X10" t="b">
        <f>S10&gt;=1</f>
        <v>1</v>
      </c>
      <c r="Y10" t="b">
        <f>K10&gt;=2010</f>
        <v>1</v>
      </c>
      <c r="Z10" t="b">
        <f>T10&lt;=30</f>
        <v>0</v>
      </c>
      <c r="AA10">
        <f>COUNTIF(V10:Z10,TRUE)</f>
        <v>4</v>
      </c>
      <c r="AC10">
        <f>IF(L10&gt;50,2,0)</f>
        <v>2</v>
      </c>
      <c r="AD10">
        <f>IF(T10&lt;=15,1,0)+IF(T10&lt;=10,1,0)+IF(T10&lt;=5,1,0)+IF(T10&lt;=1,1,0)</f>
        <v>0</v>
      </c>
      <c r="AE10">
        <f>IF(C10="within Australia",1,0)</f>
        <v>0</v>
      </c>
      <c r="AF10">
        <f>IF(B10="PV &amp; Load",1,0)</f>
        <v>0</v>
      </c>
      <c r="AH10">
        <f>SUM(AC10:AF10)</f>
        <v>2</v>
      </c>
    </row>
    <row r="11" spans="1:34" ht="30" customHeight="1" x14ac:dyDescent="0.25">
      <c r="A11" s="1" t="s">
        <v>95</v>
      </c>
      <c r="B11" s="3" t="s">
        <v>33</v>
      </c>
      <c r="C11" s="3" t="s">
        <v>19</v>
      </c>
      <c r="D11" s="5" t="s">
        <v>96</v>
      </c>
      <c r="E11" s="3" t="s">
        <v>14</v>
      </c>
      <c r="F11" s="3">
        <v>5.54</v>
      </c>
      <c r="G11" s="3" t="s">
        <v>65</v>
      </c>
      <c r="H11" s="3">
        <v>3</v>
      </c>
      <c r="I11" s="3" t="s">
        <v>49</v>
      </c>
      <c r="J11" s="3">
        <v>2017</v>
      </c>
      <c r="K11" s="3">
        <v>2018</v>
      </c>
      <c r="L11" s="5">
        <v>11</v>
      </c>
      <c r="M11" s="8" t="s">
        <v>97</v>
      </c>
      <c r="N11" s="3" t="s">
        <v>20</v>
      </c>
      <c r="O11" s="5" t="s">
        <v>98</v>
      </c>
      <c r="P11" s="9" t="s">
        <v>147</v>
      </c>
      <c r="Q11" s="3" t="s">
        <v>17</v>
      </c>
      <c r="R11" s="11" t="s">
        <v>163</v>
      </c>
      <c r="S11">
        <f>H11/(IF(I11="years",1,0)+IF(I11="months",12,0)+IF(I11="weeks",52,0))</f>
        <v>0.25</v>
      </c>
      <c r="T11" s="40">
        <f>F11*(IF(G11="month",60*24*30,0)+IF(G11="hour",60,0)+IF(G11="min",1,0)+IF(G11="second",1/60,0))</f>
        <v>9.2333333333333337E-2</v>
      </c>
      <c r="V11" t="b">
        <f>L11&gt;10</f>
        <v>1</v>
      </c>
      <c r="W11" t="b">
        <f>OR(E11="individual","circuit level")</f>
        <v>1</v>
      </c>
      <c r="X11" t="b">
        <f>S11&gt;=1</f>
        <v>0</v>
      </c>
      <c r="Y11" t="b">
        <f>K11&gt;=2010</f>
        <v>1</v>
      </c>
      <c r="Z11" t="b">
        <f>T11&lt;=30</f>
        <v>1</v>
      </c>
      <c r="AA11">
        <f>COUNTIF(V11:Z11,TRUE)</f>
        <v>4</v>
      </c>
      <c r="AC11">
        <f>IF(L11&gt;50,2,0)</f>
        <v>0</v>
      </c>
      <c r="AD11">
        <f>IF(T11&lt;=15,1,0)+IF(T11&lt;=10,1,0)+IF(T11&lt;=5,1,0)+IF(T11&lt;=1,1,0)</f>
        <v>4</v>
      </c>
      <c r="AE11">
        <f>IF(C11="within Australia",1,0)</f>
        <v>0</v>
      </c>
      <c r="AF11">
        <f>IF(B11="PV &amp; Load",1,0)</f>
        <v>0</v>
      </c>
      <c r="AH11">
        <f>SUM(AC11:AF11)</f>
        <v>4</v>
      </c>
    </row>
    <row r="12" spans="1:34" ht="30" customHeight="1" x14ac:dyDescent="0.25">
      <c r="A12" s="1" t="s">
        <v>60</v>
      </c>
      <c r="B12" s="3" t="s">
        <v>35</v>
      </c>
      <c r="C12" s="3" t="s">
        <v>18</v>
      </c>
      <c r="D12" s="5" t="s">
        <v>61</v>
      </c>
      <c r="E12" s="3" t="s">
        <v>15</v>
      </c>
      <c r="F12" s="3">
        <v>1</v>
      </c>
      <c r="G12" s="3" t="s">
        <v>40</v>
      </c>
      <c r="H12" s="3">
        <v>1</v>
      </c>
      <c r="I12" s="3" t="s">
        <v>41</v>
      </c>
      <c r="J12" s="3">
        <v>2013</v>
      </c>
      <c r="K12" s="3">
        <v>2013</v>
      </c>
      <c r="L12" s="5">
        <v>60</v>
      </c>
      <c r="M12" s="8" t="s">
        <v>54</v>
      </c>
      <c r="N12" s="3" t="s">
        <v>20</v>
      </c>
      <c r="O12" s="5" t="s">
        <v>62</v>
      </c>
      <c r="P12" s="9" t="s">
        <v>144</v>
      </c>
      <c r="Q12" s="3" t="s">
        <v>27</v>
      </c>
      <c r="R12" s="11" t="s">
        <v>155</v>
      </c>
      <c r="S12">
        <f>H12/(IF(I12="years",1,0)+IF(I12="months",12,0)+IF(I12="weeks",52,0))</f>
        <v>1</v>
      </c>
      <c r="T12" s="40">
        <f>F12*(IF(G12="month",60*24*30,0)+IF(G12="hour",60,0)+IF(G12="min",1,0)+IF(G12="second",1/60,0))</f>
        <v>1</v>
      </c>
      <c r="V12" t="b">
        <f>L12&gt;10</f>
        <v>1</v>
      </c>
      <c r="W12" t="b">
        <f>OR(E12="individual","circuit level")</f>
        <v>0</v>
      </c>
      <c r="X12" t="b">
        <f>S12&gt;=1</f>
        <v>1</v>
      </c>
      <c r="Y12" t="b">
        <f>K12&gt;=2010</f>
        <v>1</v>
      </c>
      <c r="Z12" t="b">
        <f>T12&lt;=30</f>
        <v>1</v>
      </c>
      <c r="AA12">
        <f>COUNTIF(V12:Z12,TRUE)</f>
        <v>4</v>
      </c>
      <c r="AC12">
        <f>IF(L12&gt;50,2,0)</f>
        <v>2</v>
      </c>
      <c r="AD12">
        <f>IF(T12&lt;=15,1,0)+IF(T12&lt;=10,1,0)+IF(T12&lt;=5,1,0)+IF(T12&lt;=1,1,0)</f>
        <v>4</v>
      </c>
      <c r="AE12">
        <f>IF(C12="within Australia",1,0)</f>
        <v>1</v>
      </c>
      <c r="AF12">
        <f>IF(B12="PV &amp; Load",1,0)</f>
        <v>1</v>
      </c>
      <c r="AH12">
        <f>SUM(AC12:AF12)</f>
        <v>8</v>
      </c>
    </row>
    <row r="13" spans="1:34" ht="30" customHeight="1" x14ac:dyDescent="0.25">
      <c r="A13" s="1" t="s">
        <v>115</v>
      </c>
      <c r="B13" s="3" t="s">
        <v>34</v>
      </c>
      <c r="C13" s="3" t="s">
        <v>18</v>
      </c>
      <c r="D13" s="5" t="s">
        <v>110</v>
      </c>
      <c r="E13" s="3" t="s">
        <v>104</v>
      </c>
      <c r="F13" s="3">
        <v>1</v>
      </c>
      <c r="G13" s="3" t="s">
        <v>40</v>
      </c>
      <c r="H13" s="3">
        <v>23</v>
      </c>
      <c r="I13" s="3" t="s">
        <v>41</v>
      </c>
      <c r="J13" s="3">
        <v>1997</v>
      </c>
      <c r="K13" s="3">
        <v>2020</v>
      </c>
      <c r="L13" s="5">
        <v>19</v>
      </c>
      <c r="M13" s="8" t="s">
        <v>116</v>
      </c>
      <c r="N13" s="3" t="s">
        <v>20</v>
      </c>
      <c r="O13" s="5" t="s">
        <v>117</v>
      </c>
      <c r="P13" s="7" t="s">
        <v>118</v>
      </c>
      <c r="Q13" s="3" t="s">
        <v>17</v>
      </c>
      <c r="R13" s="11" t="s">
        <v>171</v>
      </c>
      <c r="S13">
        <f>H13/(IF(I13="years",1,0)+IF(I13="months",12,0)+IF(I13="weeks",52,0))</f>
        <v>23</v>
      </c>
      <c r="T13" s="40">
        <f>F13*(IF(G13="month",60*24*30,0)+IF(G13="hour",60,0)+IF(G13="min",1,0)+IF(G13="second",1/60,0))</f>
        <v>1</v>
      </c>
      <c r="V13" t="b">
        <f>L13&gt;10</f>
        <v>1</v>
      </c>
      <c r="W13" t="b">
        <f>OR(E13="individual","circuit level")</f>
        <v>0</v>
      </c>
      <c r="X13" t="b">
        <f>S13&gt;=1</f>
        <v>1</v>
      </c>
      <c r="Y13" t="b">
        <f>K13&gt;=2010</f>
        <v>1</v>
      </c>
      <c r="Z13" t="b">
        <f>T13&lt;=30</f>
        <v>1</v>
      </c>
      <c r="AA13">
        <f>COUNTIF(V13:Z13,TRUE)</f>
        <v>4</v>
      </c>
      <c r="AC13">
        <f>IF(L13&gt;50,2,0)</f>
        <v>0</v>
      </c>
      <c r="AD13">
        <f>IF(T13&lt;=15,1,0)+IF(T13&lt;=10,1,0)+IF(T13&lt;=5,1,0)+IF(T13&lt;=1,1,0)</f>
        <v>4</v>
      </c>
      <c r="AE13">
        <f>IF(C13="within Australia",1,0)</f>
        <v>1</v>
      </c>
      <c r="AF13">
        <f>IF(B13="PV &amp; Load",1,0)</f>
        <v>0</v>
      </c>
      <c r="AH13">
        <f>SUM(AC13:AF13)</f>
        <v>5</v>
      </c>
    </row>
    <row r="14" spans="1:34" ht="30" customHeight="1" x14ac:dyDescent="0.25">
      <c r="A14" s="14" t="s">
        <v>56</v>
      </c>
      <c r="B14" s="3" t="s">
        <v>35</v>
      </c>
      <c r="C14" s="3" t="s">
        <v>18</v>
      </c>
      <c r="D14" s="5" t="s">
        <v>57</v>
      </c>
      <c r="E14" s="3" t="s">
        <v>15</v>
      </c>
      <c r="F14" s="3">
        <v>30</v>
      </c>
      <c r="G14" s="3" t="s">
        <v>40</v>
      </c>
      <c r="H14" s="3">
        <v>5</v>
      </c>
      <c r="I14" s="3" t="s">
        <v>41</v>
      </c>
      <c r="J14" s="3">
        <v>2013</v>
      </c>
      <c r="K14" s="3">
        <v>2017</v>
      </c>
      <c r="L14" s="5">
        <v>163</v>
      </c>
      <c r="M14" s="8" t="s">
        <v>58</v>
      </c>
      <c r="N14" s="3" t="s">
        <v>20</v>
      </c>
      <c r="O14" s="5" t="s">
        <v>59</v>
      </c>
      <c r="P14" s="9" t="s">
        <v>143</v>
      </c>
      <c r="Q14" s="3" t="s">
        <v>26</v>
      </c>
      <c r="R14" s="11" t="s">
        <v>154</v>
      </c>
      <c r="S14">
        <f>H14/(IF(I14="years",1,0)+IF(I14="months",12,0)+IF(I14="weeks",52,0))</f>
        <v>5</v>
      </c>
      <c r="T14" s="40">
        <f>F14*(IF(G14="month",60*24*30,0)+IF(G14="hour",60,0)+IF(G14="min",1,0)+IF(G14="second",1/60,0))</f>
        <v>30</v>
      </c>
      <c r="V14" t="b">
        <f>L14&gt;10</f>
        <v>1</v>
      </c>
      <c r="W14" t="b">
        <f>OR(E14="individual","circuit level")</f>
        <v>0</v>
      </c>
      <c r="X14" t="b">
        <f>S14&gt;=1</f>
        <v>1</v>
      </c>
      <c r="Y14" t="b">
        <f>K14&gt;=2010</f>
        <v>1</v>
      </c>
      <c r="Z14" t="b">
        <f>T14&lt;=30</f>
        <v>1</v>
      </c>
      <c r="AA14">
        <f>COUNTIF(V14:Z14,TRUE)</f>
        <v>4</v>
      </c>
      <c r="AC14">
        <f>IF(L14&gt;50,2,0)</f>
        <v>2</v>
      </c>
      <c r="AD14">
        <f>IF(T14&lt;=15,1,0)+IF(T14&lt;=10,1,0)+IF(T14&lt;=5,1,0)+IF(T14&lt;=1,1,0)</f>
        <v>0</v>
      </c>
      <c r="AE14">
        <f>IF(C14="within Australia",1,0)</f>
        <v>1</v>
      </c>
      <c r="AF14">
        <f>IF(B14="PV &amp; Load",1,0)</f>
        <v>1</v>
      </c>
      <c r="AH14">
        <f>SUM(AC14:AF14)</f>
        <v>4</v>
      </c>
    </row>
    <row r="15" spans="1:34" ht="30" customHeight="1" x14ac:dyDescent="0.25">
      <c r="A15" s="1" t="s">
        <v>77</v>
      </c>
      <c r="B15" s="3" t="s">
        <v>33</v>
      </c>
      <c r="C15" s="3" t="s">
        <v>18</v>
      </c>
      <c r="D15" s="5" t="s">
        <v>78</v>
      </c>
      <c r="E15" s="3" t="s">
        <v>16</v>
      </c>
      <c r="F15" s="3">
        <v>30</v>
      </c>
      <c r="G15" s="3" t="s">
        <v>40</v>
      </c>
      <c r="H15" s="3">
        <v>10</v>
      </c>
      <c r="I15" s="3" t="s">
        <v>41</v>
      </c>
      <c r="J15" s="3">
        <v>2008</v>
      </c>
      <c r="K15" s="3">
        <v>2020</v>
      </c>
      <c r="L15" s="5">
        <v>500</v>
      </c>
      <c r="M15" s="8" t="s">
        <v>79</v>
      </c>
      <c r="N15" s="3" t="s">
        <v>20</v>
      </c>
      <c r="O15" s="5" t="s">
        <v>45</v>
      </c>
      <c r="P15" s="9" t="s">
        <v>146</v>
      </c>
      <c r="Q15" s="3" t="s">
        <v>17</v>
      </c>
      <c r="R15" s="11" t="s">
        <v>158</v>
      </c>
      <c r="S15">
        <f>H15/(IF(I15="years",1,0)+IF(I15="months",12,0)+IF(I15="weeks",52,0))</f>
        <v>10</v>
      </c>
      <c r="T15" s="40">
        <f>F15*(IF(G15="month",60*24*30,0)+IF(G15="hour",60,0)+IF(G15="min",1,0)+IF(G15="second",1/60,0))</f>
        <v>30</v>
      </c>
      <c r="V15" t="b">
        <f>L15&gt;10</f>
        <v>1</v>
      </c>
      <c r="W15" t="b">
        <f>OR(E15="individual","circuit level")</f>
        <v>0</v>
      </c>
      <c r="X15" t="b">
        <f>S15&gt;=1</f>
        <v>1</v>
      </c>
      <c r="Y15" t="b">
        <f>K15&gt;=2010</f>
        <v>1</v>
      </c>
      <c r="Z15" t="b">
        <f>T15&lt;=30</f>
        <v>1</v>
      </c>
      <c r="AA15">
        <f>COUNTIF(V15:Z15,TRUE)</f>
        <v>4</v>
      </c>
      <c r="AC15">
        <f>IF(L15&gt;50,2,0)</f>
        <v>2</v>
      </c>
      <c r="AD15">
        <f>IF(T15&lt;=15,1,0)+IF(T15&lt;=10,1,0)+IF(T15&lt;=5,1,0)+IF(T15&lt;=1,1,0)</f>
        <v>0</v>
      </c>
      <c r="AE15">
        <f>IF(C15="within Australia",1,0)</f>
        <v>1</v>
      </c>
      <c r="AF15">
        <f>IF(B15="PV &amp; Load",1,0)</f>
        <v>0</v>
      </c>
      <c r="AH15">
        <f>SUM(AC15:AF15)</f>
        <v>3</v>
      </c>
    </row>
    <row r="16" spans="1:34" ht="30" customHeight="1" x14ac:dyDescent="0.25">
      <c r="A16" s="1" t="s">
        <v>84</v>
      </c>
      <c r="B16" s="3" t="s">
        <v>33</v>
      </c>
      <c r="C16" s="3" t="s">
        <v>18</v>
      </c>
      <c r="D16" s="5" t="s">
        <v>85</v>
      </c>
      <c r="E16" s="3" t="s">
        <v>15</v>
      </c>
      <c r="F16" s="3">
        <v>15</v>
      </c>
      <c r="G16" s="3" t="s">
        <v>40</v>
      </c>
      <c r="H16" s="3">
        <v>1.5</v>
      </c>
      <c r="I16" s="3" t="s">
        <v>41</v>
      </c>
      <c r="J16" s="3" t="s">
        <v>23</v>
      </c>
      <c r="K16" s="3" t="s">
        <v>23</v>
      </c>
      <c r="L16" s="5">
        <v>25</v>
      </c>
      <c r="M16" s="8" t="s">
        <v>87</v>
      </c>
      <c r="N16" s="3" t="s">
        <v>20</v>
      </c>
      <c r="O16" s="5" t="s">
        <v>88</v>
      </c>
      <c r="P16" s="9" t="s">
        <v>86</v>
      </c>
      <c r="Q16" s="3" t="s">
        <v>27</v>
      </c>
      <c r="R16" s="11" t="s">
        <v>161</v>
      </c>
      <c r="S16">
        <f>H16/(IF(I16="years",1,0)+IF(I16="months",12,0)+IF(I16="weeks",52,0))</f>
        <v>1.5</v>
      </c>
      <c r="T16" s="40">
        <f>F16*(IF(G16="month",60*24*30,0)+IF(G16="hour",60,0)+IF(G16="min",1,0)+IF(G16="second",1/60,0))</f>
        <v>15</v>
      </c>
      <c r="V16" t="b">
        <f>L16&gt;10</f>
        <v>1</v>
      </c>
      <c r="W16" t="b">
        <f>OR(E16="individual","circuit level")</f>
        <v>0</v>
      </c>
      <c r="X16" t="b">
        <f>S16&gt;=1</f>
        <v>1</v>
      </c>
      <c r="Y16" t="b">
        <f>K16&gt;=2010</f>
        <v>1</v>
      </c>
      <c r="Z16" t="b">
        <f>T16&lt;=30</f>
        <v>1</v>
      </c>
      <c r="AA16">
        <f>COUNTIF(V16:Z16,TRUE)</f>
        <v>4</v>
      </c>
      <c r="AC16">
        <f>IF(L16&gt;50,2,0)</f>
        <v>0</v>
      </c>
      <c r="AD16">
        <f>IF(T16&lt;=15,1,0)+IF(T16&lt;=10,1,0)+IF(T16&lt;=5,1,0)+IF(T16&lt;=1,1,0)</f>
        <v>1</v>
      </c>
      <c r="AE16">
        <f>IF(C16="within Australia",1,0)</f>
        <v>1</v>
      </c>
      <c r="AF16">
        <f>IF(B16="PV &amp; Load",1,0)</f>
        <v>0</v>
      </c>
      <c r="AH16">
        <f>SUM(AC16:AF16)</f>
        <v>2</v>
      </c>
    </row>
    <row r="17" spans="1:34" ht="30" customHeight="1" x14ac:dyDescent="0.25">
      <c r="A17" s="1" t="s">
        <v>80</v>
      </c>
      <c r="B17" s="3" t="s">
        <v>33</v>
      </c>
      <c r="C17" s="3" t="s">
        <v>18</v>
      </c>
      <c r="D17" s="5" t="s">
        <v>81</v>
      </c>
      <c r="E17" s="3" t="s">
        <v>104</v>
      </c>
      <c r="F17" s="3">
        <v>30</v>
      </c>
      <c r="G17" s="3" t="s">
        <v>40</v>
      </c>
      <c r="H17" s="3">
        <v>18</v>
      </c>
      <c r="I17" s="3" t="s">
        <v>41</v>
      </c>
      <c r="J17" s="3">
        <v>2002</v>
      </c>
      <c r="K17" s="3">
        <v>2020</v>
      </c>
      <c r="L17" s="5">
        <v>21</v>
      </c>
      <c r="M17" s="8" t="s">
        <v>82</v>
      </c>
      <c r="N17" s="3" t="s">
        <v>20</v>
      </c>
      <c r="O17" s="5" t="s">
        <v>80</v>
      </c>
      <c r="P17" s="7" t="s">
        <v>83</v>
      </c>
      <c r="Q17" s="3" t="s">
        <v>17</v>
      </c>
      <c r="R17" s="11" t="s">
        <v>159</v>
      </c>
      <c r="S17">
        <f>H17/(IF(I17="years",1,0)+IF(I17="months",12,0)+IF(I17="weeks",52,0))</f>
        <v>18</v>
      </c>
      <c r="T17" s="40">
        <f>F17*(IF(G17="month",60*24*30,0)+IF(G17="hour",60,0)+IF(G17="min",1,0)+IF(G17="second",1/60,0))</f>
        <v>30</v>
      </c>
      <c r="V17" t="b">
        <f>L17&gt;10</f>
        <v>1</v>
      </c>
      <c r="W17" t="b">
        <f>OR(E17="individual","circuit level")</f>
        <v>0</v>
      </c>
      <c r="X17" t="b">
        <f>S17&gt;=1</f>
        <v>1</v>
      </c>
      <c r="Y17" t="b">
        <f>K17&gt;=2010</f>
        <v>1</v>
      </c>
      <c r="Z17" t="b">
        <f>T17&lt;=30</f>
        <v>1</v>
      </c>
      <c r="AA17">
        <f>COUNTIF(V17:Z17,TRUE)</f>
        <v>4</v>
      </c>
      <c r="AC17">
        <f>IF(L17&gt;50,2,0)</f>
        <v>0</v>
      </c>
      <c r="AD17">
        <f>IF(T17&lt;=15,1,0)+IF(T17&lt;=10,1,0)+IF(T17&lt;=5,1,0)+IF(T17&lt;=1,1,0)</f>
        <v>0</v>
      </c>
      <c r="AE17">
        <f>IF(C17="within Australia",1,0)</f>
        <v>1</v>
      </c>
      <c r="AF17">
        <f>IF(B17="PV &amp; Load",1,0)</f>
        <v>0</v>
      </c>
      <c r="AH17">
        <f>SUM(AC17:AF17)</f>
        <v>1</v>
      </c>
    </row>
    <row r="18" spans="1:34" ht="30" customHeight="1" x14ac:dyDescent="0.25">
      <c r="A18" s="1" t="s">
        <v>99</v>
      </c>
      <c r="B18" s="3" t="s">
        <v>32</v>
      </c>
      <c r="C18" s="3" t="s">
        <v>18</v>
      </c>
      <c r="D18" s="5" t="s">
        <v>100</v>
      </c>
      <c r="E18" s="3" t="s">
        <v>16</v>
      </c>
      <c r="F18" s="3">
        <v>1</v>
      </c>
      <c r="G18" s="3" t="s">
        <v>92</v>
      </c>
      <c r="H18" s="3">
        <v>4</v>
      </c>
      <c r="I18" s="3" t="s">
        <v>41</v>
      </c>
      <c r="J18" s="3">
        <v>2011</v>
      </c>
      <c r="K18" s="3">
        <v>2015</v>
      </c>
      <c r="L18" s="5">
        <v>500</v>
      </c>
      <c r="M18" s="8" t="s">
        <v>54</v>
      </c>
      <c r="N18" s="3" t="s">
        <v>23</v>
      </c>
      <c r="O18" s="5" t="s">
        <v>103</v>
      </c>
      <c r="Q18" s="3" t="s">
        <v>17</v>
      </c>
      <c r="R18" s="11" t="s">
        <v>167</v>
      </c>
      <c r="S18">
        <f>H18/(IF(I18="years",1,0)+IF(I18="months",12,0)+IF(I18="weeks",52,0))</f>
        <v>4</v>
      </c>
      <c r="T18" s="40">
        <f>F18*(IF(G18="month",60*24*30,0)+IF(G18="hour",60,0)+IF(G18="min",1,0)+IF(G18="second",1/60,0))</f>
        <v>60</v>
      </c>
      <c r="V18" t="b">
        <f>L18&gt;10</f>
        <v>1</v>
      </c>
      <c r="W18" t="b">
        <f>OR(E18="individual","circuit level")</f>
        <v>0</v>
      </c>
      <c r="X18" t="b">
        <f>S18&gt;=1</f>
        <v>1</v>
      </c>
      <c r="Y18" t="b">
        <f>K18&gt;=2010</f>
        <v>1</v>
      </c>
      <c r="Z18" t="b">
        <f>T18&lt;=30</f>
        <v>0</v>
      </c>
      <c r="AA18">
        <f>COUNTIF(V18:Z18,TRUE)</f>
        <v>3</v>
      </c>
      <c r="AC18">
        <f>IF(L18&gt;50,2,0)</f>
        <v>2</v>
      </c>
      <c r="AD18">
        <f>IF(T18&lt;=15,1,0)+IF(T18&lt;=10,1,0)+IF(T18&lt;=5,1,0)+IF(T18&lt;=1,1,0)</f>
        <v>0</v>
      </c>
      <c r="AE18">
        <f>IF(C18="within Australia",1,0)</f>
        <v>1</v>
      </c>
      <c r="AF18">
        <f>IF(B18="PV &amp; Load",1,0)</f>
        <v>0</v>
      </c>
      <c r="AH18">
        <f>SUM(AC18:AF18)</f>
        <v>3</v>
      </c>
    </row>
    <row r="19" spans="1:34" ht="30" customHeight="1" x14ac:dyDescent="0.25">
      <c r="A19" s="1" t="s">
        <v>109</v>
      </c>
      <c r="B19" s="3" t="s">
        <v>34</v>
      </c>
      <c r="C19" s="3" t="s">
        <v>18</v>
      </c>
      <c r="D19" s="5" t="s">
        <v>110</v>
      </c>
      <c r="E19" s="3" t="s">
        <v>104</v>
      </c>
      <c r="F19" s="3">
        <v>1</v>
      </c>
      <c r="G19" s="3" t="s">
        <v>114</v>
      </c>
      <c r="H19" s="3">
        <v>2</v>
      </c>
      <c r="I19" s="3" t="s">
        <v>41</v>
      </c>
      <c r="J19" s="3">
        <v>2019</v>
      </c>
      <c r="K19" s="3">
        <v>2020</v>
      </c>
      <c r="L19" s="5">
        <v>2000</v>
      </c>
      <c r="M19" s="8" t="s">
        <v>113</v>
      </c>
      <c r="N19" s="3" t="s">
        <v>20</v>
      </c>
      <c r="O19" s="5" t="s">
        <v>112</v>
      </c>
      <c r="Q19" s="3" t="s">
        <v>17</v>
      </c>
      <c r="R19" s="11" t="s">
        <v>169</v>
      </c>
      <c r="S19">
        <f>H19/(IF(I19="years",1,0)+IF(I19="months",12,0)+IF(I19="weeks",52,0))</f>
        <v>2</v>
      </c>
      <c r="T19" s="40">
        <f>F19*(IF(G19="month",60*24*30,0)+IF(G19="hour",60,0)+IF(G19="min",1,0)+IF(G19="second",1/60,0))</f>
        <v>43200</v>
      </c>
      <c r="V19" t="b">
        <f>L19&gt;10</f>
        <v>1</v>
      </c>
      <c r="W19" t="b">
        <f>OR(E19="individual","circuit level")</f>
        <v>0</v>
      </c>
      <c r="X19" t="b">
        <f>S19&gt;=1</f>
        <v>1</v>
      </c>
      <c r="Y19" t="b">
        <f>K19&gt;=2010</f>
        <v>1</v>
      </c>
      <c r="Z19" t="b">
        <f>T19&lt;=30</f>
        <v>0</v>
      </c>
      <c r="AA19">
        <f>COUNTIF(V19:Z19,TRUE)</f>
        <v>3</v>
      </c>
      <c r="AC19">
        <f>IF(L19&gt;50,2,0)</f>
        <v>2</v>
      </c>
      <c r="AD19">
        <f>IF(T19&lt;=15,1,0)+IF(T19&lt;=10,1,0)+IF(T19&lt;=5,1,0)+IF(T19&lt;=1,1,0)</f>
        <v>0</v>
      </c>
      <c r="AE19">
        <f>IF(C19="within Australia",1,0)</f>
        <v>1</v>
      </c>
      <c r="AF19">
        <f>IF(B19="PV &amp; Load",1,0)</f>
        <v>0</v>
      </c>
      <c r="AH19">
        <f>SUM(AC19:AF19)</f>
        <v>3</v>
      </c>
    </row>
    <row r="20" spans="1:34" ht="30" customHeight="1" x14ac:dyDescent="0.25">
      <c r="A20" s="15" t="s">
        <v>38</v>
      </c>
      <c r="B20" s="3" t="s">
        <v>33</v>
      </c>
      <c r="C20" s="3" t="s">
        <v>19</v>
      </c>
      <c r="D20" s="5" t="s">
        <v>48</v>
      </c>
      <c r="E20" s="3" t="s">
        <v>16</v>
      </c>
      <c r="F20" s="3">
        <v>10</v>
      </c>
      <c r="G20" s="3" t="s">
        <v>40</v>
      </c>
      <c r="H20" s="3">
        <v>5</v>
      </c>
      <c r="I20" s="3" t="s">
        <v>49</v>
      </c>
      <c r="J20" s="3">
        <v>2014</v>
      </c>
      <c r="K20" s="3">
        <v>2014</v>
      </c>
      <c r="L20" s="5">
        <v>20</v>
      </c>
      <c r="M20" s="8" t="s">
        <v>89</v>
      </c>
      <c r="N20" s="3" t="s">
        <v>20</v>
      </c>
      <c r="O20" s="5" t="s">
        <v>51</v>
      </c>
      <c r="Q20" s="3" t="s">
        <v>17</v>
      </c>
      <c r="R20" s="13" t="s">
        <v>151</v>
      </c>
      <c r="S20">
        <f>H20/(IF(I20="years",1,0)+IF(I20="months",12,0)+IF(I20="weeks",52,0))</f>
        <v>0.41666666666666669</v>
      </c>
      <c r="T20" s="40">
        <f>F20*(IF(G20="month",60*24*30,0)+IF(G20="hour",60,0)+IF(G20="min",1,0)+IF(G20="second",1/60,0))</f>
        <v>10</v>
      </c>
      <c r="V20" t="b">
        <f>L20&gt;10</f>
        <v>1</v>
      </c>
      <c r="W20" t="b">
        <f>OR(E20="individual","circuit level")</f>
        <v>0</v>
      </c>
      <c r="X20" t="b">
        <f>S20&gt;=1</f>
        <v>0</v>
      </c>
      <c r="Y20" t="b">
        <f>K20&gt;=2010</f>
        <v>1</v>
      </c>
      <c r="Z20" t="b">
        <f>T20&lt;=30</f>
        <v>1</v>
      </c>
      <c r="AA20">
        <f>COUNTIF(V20:Z20,TRUE)</f>
        <v>3</v>
      </c>
      <c r="AC20">
        <f>IF(L20&gt;50,2,0)</f>
        <v>0</v>
      </c>
      <c r="AD20">
        <f>IF(T20&lt;=15,1,0)+IF(T20&lt;=10,1,0)+IF(T20&lt;=5,1,0)+IF(T20&lt;=1,1,0)</f>
        <v>2</v>
      </c>
      <c r="AE20">
        <f>IF(C20="within Australia",1,0)</f>
        <v>0</v>
      </c>
      <c r="AF20">
        <f>IF(B20="PV &amp; Load",1,0)</f>
        <v>0</v>
      </c>
      <c r="AH20">
        <f>SUM(AC20:AF20)</f>
        <v>2</v>
      </c>
    </row>
    <row r="21" spans="1:34" ht="30" customHeight="1" x14ac:dyDescent="0.25">
      <c r="A21" s="1" t="s">
        <v>70</v>
      </c>
      <c r="B21" s="3" t="s">
        <v>35</v>
      </c>
      <c r="C21" s="3" t="s">
        <v>19</v>
      </c>
      <c r="D21" s="5" t="s">
        <v>71</v>
      </c>
      <c r="E21" s="3" t="s">
        <v>15</v>
      </c>
      <c r="F21" s="3">
        <v>10</v>
      </c>
      <c r="G21" s="3" t="s">
        <v>40</v>
      </c>
      <c r="H21" s="3">
        <v>11</v>
      </c>
      <c r="I21" s="3" t="s">
        <v>49</v>
      </c>
      <c r="J21" s="3">
        <v>1999</v>
      </c>
      <c r="K21" s="3">
        <v>2005</v>
      </c>
      <c r="L21" s="5">
        <v>100</v>
      </c>
      <c r="M21" s="8" t="s">
        <v>54</v>
      </c>
      <c r="N21" s="3" t="s">
        <v>20</v>
      </c>
      <c r="O21" s="5" t="s">
        <v>72</v>
      </c>
      <c r="P21" s="9" t="s">
        <v>145</v>
      </c>
      <c r="Q21" s="3" t="s">
        <v>27</v>
      </c>
      <c r="R21" s="11" t="s">
        <v>157</v>
      </c>
      <c r="S21">
        <f>H21/(IF(I21="years",1,0)+IF(I21="months",12,0)+IF(I21="weeks",52,0))</f>
        <v>0.91666666666666663</v>
      </c>
      <c r="T21" s="40">
        <f>F21*(IF(G21="month",60*24*30,0)+IF(G21="hour",60,0)+IF(G21="min",1,0)+IF(G21="second",1/60,0))</f>
        <v>10</v>
      </c>
      <c r="V21" t="b">
        <f>L21&gt;10</f>
        <v>1</v>
      </c>
      <c r="W21" t="b">
        <f>OR(E21="individual","circuit level")</f>
        <v>0</v>
      </c>
      <c r="X21" t="b">
        <f>S21&gt;=1</f>
        <v>0</v>
      </c>
      <c r="Y21" t="b">
        <f>K21&gt;=2010</f>
        <v>0</v>
      </c>
      <c r="Z21" t="b">
        <f>T21&lt;=30</f>
        <v>1</v>
      </c>
      <c r="AA21">
        <f>COUNTIF(V21:Z21,TRUE)</f>
        <v>2</v>
      </c>
      <c r="AC21">
        <f>IF(L21&gt;50,2,0)</f>
        <v>2</v>
      </c>
      <c r="AD21">
        <f>IF(T21&lt;=15,1,0)+IF(T21&lt;=10,1,0)+IF(T21&lt;=5,1,0)+IF(T21&lt;=1,1,0)</f>
        <v>2</v>
      </c>
      <c r="AE21">
        <f>IF(C21="within Australia",1,0)</f>
        <v>0</v>
      </c>
      <c r="AF21">
        <f>IF(B21="PV &amp; Load",1,0)</f>
        <v>1</v>
      </c>
      <c r="AH21">
        <f>SUM(AC21:AF21)</f>
        <v>5</v>
      </c>
    </row>
    <row r="22" spans="1:34" ht="30" customHeight="1" x14ac:dyDescent="0.25">
      <c r="A22" s="15" t="s">
        <v>38</v>
      </c>
      <c r="B22" s="3" t="s">
        <v>35</v>
      </c>
      <c r="C22" s="3" t="s">
        <v>19</v>
      </c>
      <c r="D22" s="6" t="s">
        <v>48</v>
      </c>
      <c r="E22" s="3" t="s">
        <v>14</v>
      </c>
      <c r="F22" s="3">
        <v>1</v>
      </c>
      <c r="G22" s="3" t="s">
        <v>40</v>
      </c>
      <c r="H22" s="3">
        <v>3</v>
      </c>
      <c r="I22" s="3" t="s">
        <v>49</v>
      </c>
      <c r="J22" s="3">
        <v>2014</v>
      </c>
      <c r="K22" s="3">
        <v>2014</v>
      </c>
      <c r="L22" s="5">
        <v>6</v>
      </c>
      <c r="M22" s="8" t="s">
        <v>50</v>
      </c>
      <c r="N22" s="3" t="s">
        <v>20</v>
      </c>
      <c r="O22" s="5" t="s">
        <v>51</v>
      </c>
      <c r="P22" s="7" t="s">
        <v>52</v>
      </c>
      <c r="Q22" s="3" t="s">
        <v>17</v>
      </c>
      <c r="R22" s="13" t="s">
        <v>151</v>
      </c>
      <c r="S22">
        <f>H22/(IF(I22="years",1,0)+IF(I22="months",12,0)+IF(I22="weeks",52,0))</f>
        <v>0.25</v>
      </c>
      <c r="T22" s="40">
        <f>F22*(IF(G22="month",60*24*30,0)+IF(G22="hour",60,0)+IF(G22="min",1,0)+IF(G22="second",1/60,0))</f>
        <v>1</v>
      </c>
      <c r="V22" t="b">
        <f>L22&gt;10</f>
        <v>0</v>
      </c>
      <c r="W22" t="b">
        <f>OR(E22="individual","circuit level")</f>
        <v>1</v>
      </c>
      <c r="X22" t="b">
        <f>S22&gt;=1</f>
        <v>0</v>
      </c>
      <c r="Y22" t="b">
        <f>K22&gt;=2010</f>
        <v>1</v>
      </c>
      <c r="Z22" t="b">
        <f>T22&lt;=30</f>
        <v>1</v>
      </c>
      <c r="AA22">
        <f>COUNTIF(V22:Z22,TRUE)</f>
        <v>3</v>
      </c>
      <c r="AC22">
        <f>IF(L22&gt;50,2,0)</f>
        <v>0</v>
      </c>
      <c r="AD22">
        <f>IF(T22&lt;=15,1,0)+IF(T22&lt;=10,1,0)+IF(T22&lt;=5,1,0)+IF(T22&lt;=1,1,0)</f>
        <v>4</v>
      </c>
      <c r="AE22">
        <f>IF(C22="within Australia",1,0)</f>
        <v>0</v>
      </c>
      <c r="AF22">
        <f>IF(B22="PV &amp; Load",1,0)</f>
        <v>1</v>
      </c>
      <c r="AH22">
        <f>SUM(AC22:AF22)</f>
        <v>5</v>
      </c>
    </row>
    <row r="23" spans="1:34" ht="30" customHeight="1" x14ac:dyDescent="0.25">
      <c r="A23" s="14" t="s">
        <v>164</v>
      </c>
      <c r="B23" s="3" t="s">
        <v>35</v>
      </c>
      <c r="C23" s="3" t="s">
        <v>19</v>
      </c>
      <c r="D23" s="5" t="s">
        <v>64</v>
      </c>
      <c r="E23" s="3" t="s">
        <v>15</v>
      </c>
      <c r="F23" s="3">
        <v>1</v>
      </c>
      <c r="G23" s="3" t="s">
        <v>40</v>
      </c>
      <c r="H23" s="3">
        <v>1</v>
      </c>
      <c r="I23" s="3" t="s">
        <v>41</v>
      </c>
      <c r="J23" s="3">
        <v>2016</v>
      </c>
      <c r="K23" s="3">
        <v>2016</v>
      </c>
      <c r="L23" s="5">
        <v>6</v>
      </c>
      <c r="M23" s="8" t="s">
        <v>54</v>
      </c>
      <c r="N23" s="3" t="s">
        <v>20</v>
      </c>
      <c r="O23" s="5" t="s">
        <v>55</v>
      </c>
      <c r="Q23" s="3" t="s">
        <v>17</v>
      </c>
      <c r="R23" s="11" t="s">
        <v>153</v>
      </c>
      <c r="S23">
        <f>H23/(IF(I23="years",1,0)+IF(I23="months",12,0)+IF(I23="weeks",52,0))</f>
        <v>1</v>
      </c>
      <c r="T23" s="40">
        <f>F23*(IF(G23="month",60*24*30,0)+IF(G23="hour",60,0)+IF(G23="min",1,0)+IF(G23="second",1/60,0))</f>
        <v>1</v>
      </c>
      <c r="V23" t="b">
        <f>L23&gt;10</f>
        <v>0</v>
      </c>
      <c r="W23" t="b">
        <f>OR(E23="individual","circuit level")</f>
        <v>0</v>
      </c>
      <c r="X23" t="b">
        <f>S23&gt;=1</f>
        <v>1</v>
      </c>
      <c r="Y23" t="b">
        <f>K23&gt;=2010</f>
        <v>1</v>
      </c>
      <c r="Z23" t="b">
        <f>T23&lt;=30</f>
        <v>1</v>
      </c>
      <c r="AA23">
        <f>COUNTIF(V23:Z23,TRUE)</f>
        <v>3</v>
      </c>
      <c r="AC23">
        <f>IF(L23&gt;50,2,0)</f>
        <v>0</v>
      </c>
      <c r="AD23">
        <f>IF(T23&lt;=15,1,0)+IF(T23&lt;=10,1,0)+IF(T23&lt;=5,1,0)+IF(T23&lt;=1,1,0)</f>
        <v>4</v>
      </c>
      <c r="AE23">
        <f>IF(C23="within Australia",1,0)</f>
        <v>0</v>
      </c>
      <c r="AF23">
        <f>IF(B23="PV &amp; Load",1,0)</f>
        <v>1</v>
      </c>
      <c r="AH23">
        <f>SUM(AC23:AF23)</f>
        <v>5</v>
      </c>
    </row>
    <row r="24" spans="1:34" ht="30" customHeight="1" x14ac:dyDescent="0.25">
      <c r="A24" s="1" t="s">
        <v>63</v>
      </c>
      <c r="B24" s="3" t="s">
        <v>35</v>
      </c>
      <c r="C24" s="3" t="s">
        <v>19</v>
      </c>
      <c r="D24" s="5" t="s">
        <v>64</v>
      </c>
      <c r="E24" s="3" t="s">
        <v>15</v>
      </c>
      <c r="F24" s="3">
        <v>3</v>
      </c>
      <c r="G24" s="3" t="s">
        <v>65</v>
      </c>
      <c r="H24" s="3">
        <v>3</v>
      </c>
      <c r="I24" s="3" t="s">
        <v>66</v>
      </c>
      <c r="J24" s="3">
        <v>2011</v>
      </c>
      <c r="K24" s="3">
        <v>2011</v>
      </c>
      <c r="L24" s="5">
        <v>6</v>
      </c>
      <c r="M24" s="8" t="s">
        <v>67</v>
      </c>
      <c r="N24" s="3" t="s">
        <v>20</v>
      </c>
      <c r="O24" s="5" t="s">
        <v>69</v>
      </c>
      <c r="P24" s="9" t="s">
        <v>68</v>
      </c>
      <c r="Q24" s="3" t="s">
        <v>27</v>
      </c>
      <c r="R24" s="11" t="s">
        <v>156</v>
      </c>
      <c r="S24">
        <f>H24/(IF(I24="years",1,0)+IF(I24="months",12,0)+IF(I24="weeks",52,0))</f>
        <v>5.7692307692307696E-2</v>
      </c>
      <c r="T24" s="40">
        <f>F24*(IF(G24="month",60*24*30,0)+IF(G24="hour",60,0)+IF(G24="min",1,0)+IF(G24="second",1/60,0))</f>
        <v>0.05</v>
      </c>
      <c r="V24" t="b">
        <f>L24&gt;10</f>
        <v>0</v>
      </c>
      <c r="W24" t="b">
        <f>OR(E24="individual","circuit level")</f>
        <v>0</v>
      </c>
      <c r="X24" t="b">
        <f>S24&gt;=1</f>
        <v>0</v>
      </c>
      <c r="Y24" t="b">
        <f>K24&gt;=2010</f>
        <v>1</v>
      </c>
      <c r="Z24" t="b">
        <f>T24&lt;=30</f>
        <v>1</v>
      </c>
      <c r="AA24">
        <f>COUNTIF(V24:Z24,TRUE)</f>
        <v>2</v>
      </c>
      <c r="AC24">
        <f>IF(L24&gt;50,2,0)</f>
        <v>0</v>
      </c>
      <c r="AD24">
        <f>IF(T24&lt;=15,1,0)+IF(T24&lt;=10,1,0)+IF(T24&lt;=5,1,0)+IF(T24&lt;=1,1,0)</f>
        <v>4</v>
      </c>
      <c r="AE24">
        <f>IF(C24="within Australia",1,0)</f>
        <v>0</v>
      </c>
      <c r="AF24">
        <f>IF(B24="PV &amp; Load",1,0)</f>
        <v>1</v>
      </c>
      <c r="AH24">
        <f>SUM(AC24:AF24)</f>
        <v>5</v>
      </c>
    </row>
    <row r="25" spans="1:34" ht="30" customHeight="1" x14ac:dyDescent="0.25"/>
    <row r="26" spans="1:34" ht="30" customHeight="1" x14ac:dyDescent="0.25"/>
    <row r="27" spans="1:34" ht="30" customHeight="1" x14ac:dyDescent="0.25"/>
    <row r="28" spans="1:34" ht="30" customHeight="1" x14ac:dyDescent="0.25"/>
    <row r="29" spans="1:34" ht="30" customHeight="1" x14ac:dyDescent="0.25"/>
    <row r="30" spans="1:34" ht="30" customHeight="1" x14ac:dyDescent="0.25"/>
    <row r="31" spans="1:34" ht="30" customHeight="1" x14ac:dyDescent="0.25"/>
    <row r="32" spans="1:34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</sheetData>
  <sortState xmlns:xlrd2="http://schemas.microsoft.com/office/spreadsheetml/2017/richdata2" ref="A2:AH24">
    <sortCondition descending="1" ref="V2:V24"/>
    <sortCondition descending="1" ref="W2:W24"/>
    <sortCondition descending="1" ref="X2:X24"/>
    <sortCondition descending="1" ref="Y2:Y24"/>
    <sortCondition descending="1" ref="Z2:Z24"/>
    <sortCondition descending="1" ref="AH2:AH24"/>
  </sortState>
  <conditionalFormatting sqref="V2:Z24">
    <cfRule type="cellIs" dxfId="0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I2:I1048576" xr:uid="{D41A2DEF-3B3F-4A31-8FC4-72993017841D}">
      <formula1>"weeks,months,years"</formula1>
    </dataValidation>
    <dataValidation type="list" allowBlank="1" showInputMessage="1" showErrorMessage="1" sqref="G2:G1048576" xr:uid="{D9EB05E3-7986-427E-8FC0-BEB6352B4F27}">
      <formula1>"second,min,hour,week,month"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B2EFEB-E7BA-461A-AB6B-97E5F5D59A0F}">
          <x14:formula1>
            <xm:f>Field!$B$6:$B$7</xm:f>
          </x14:formula1>
          <xm:sqref>C2:C1048576</xm:sqref>
        </x14:dataValidation>
        <x14:dataValidation type="list" allowBlank="1" showInputMessage="1" showErrorMessage="1" xr:uid="{AC5C1778-064B-4F7F-B2E0-A6ECFFAA0DAC}">
          <x14:formula1>
            <xm:f>Field!$C$6:$C$9</xm:f>
          </x14:formula1>
          <xm:sqref>E2:E1048576</xm:sqref>
        </x14:dataValidation>
        <x14:dataValidation type="list" allowBlank="1" showInputMessage="1" showErrorMessage="1" xr:uid="{155EA882-72AA-4633-A557-6D8FDB429C58}">
          <x14:formula1>
            <xm:f>Field!$D$6:$D$9</xm:f>
          </x14:formula1>
          <xm:sqref>N2:N1048576</xm:sqref>
        </x14:dataValidation>
        <x14:dataValidation type="list" allowBlank="1" showInputMessage="1" showErrorMessage="1" xr:uid="{5AE50A47-E490-4398-9DEA-FE83AFF856F6}">
          <x14:formula1>
            <xm:f>Field!$E$6:$E$11</xm:f>
          </x14:formula1>
          <xm:sqref>Q2:Q1048576</xm:sqref>
        </x14:dataValidation>
        <x14:dataValidation type="list" allowBlank="1" showInputMessage="1" showErrorMessage="1" xr:uid="{B708CBEC-E21B-4981-8063-1FB26FB31F90}">
          <x14:formula1>
            <xm:f>Field!$A$6:$A$9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EBB-B668-458F-9AC2-5D95F455D09C}">
  <sheetPr codeName="Sheet3"/>
  <dimension ref="A1:J59"/>
  <sheetViews>
    <sheetView topLeftCell="A31" workbookViewId="0">
      <selection activeCell="P33" sqref="P33"/>
    </sheetView>
  </sheetViews>
  <sheetFormatPr defaultRowHeight="15" x14ac:dyDescent="0.25"/>
  <sheetData>
    <row r="1" spans="1:8" x14ac:dyDescent="0.25">
      <c r="A1" s="20" t="s">
        <v>31</v>
      </c>
      <c r="B1" s="20"/>
      <c r="C1" s="20"/>
      <c r="D1" s="20"/>
      <c r="E1" s="20"/>
      <c r="F1" s="20"/>
      <c r="G1" s="20"/>
      <c r="H1" s="20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x14ac:dyDescent="0.25">
      <c r="A3" s="20"/>
      <c r="B3" s="20"/>
      <c r="C3" s="20"/>
      <c r="D3" s="20"/>
      <c r="E3" s="20"/>
      <c r="F3" s="20"/>
      <c r="G3" s="20"/>
      <c r="H3" s="20"/>
    </row>
    <row r="4" spans="1:8" x14ac:dyDescent="0.25">
      <c r="A4" s="20"/>
      <c r="B4" s="20"/>
      <c r="C4" s="20"/>
      <c r="D4" s="20"/>
      <c r="E4" s="20"/>
      <c r="F4" s="20"/>
      <c r="G4" s="20"/>
      <c r="H4" s="20"/>
    </row>
    <row r="12" spans="1:8" x14ac:dyDescent="0.25">
      <c r="C12" s="18" t="s">
        <v>138</v>
      </c>
      <c r="D12" s="18"/>
      <c r="E12" s="18" t="s">
        <v>139</v>
      </c>
      <c r="F12" s="18"/>
      <c r="G12" s="18" t="s">
        <v>140</v>
      </c>
      <c r="H12" s="18"/>
    </row>
    <row r="13" spans="1:8" ht="15" customHeight="1" x14ac:dyDescent="0.25">
      <c r="C13" s="18"/>
      <c r="D13" s="18"/>
      <c r="E13" s="18"/>
      <c r="F13" s="18"/>
      <c r="G13" s="18" t="s">
        <v>140</v>
      </c>
      <c r="H13" s="18"/>
    </row>
    <row r="14" spans="1:8" x14ac:dyDescent="0.25">
      <c r="C14" s="19" t="s">
        <v>0</v>
      </c>
      <c r="D14" s="19"/>
      <c r="E14" s="17" t="s">
        <v>18</v>
      </c>
      <c r="F14" s="17"/>
      <c r="G14" s="17"/>
      <c r="H14" s="17"/>
    </row>
    <row r="15" spans="1:8" x14ac:dyDescent="0.25">
      <c r="C15" s="19"/>
      <c r="D15" s="19"/>
      <c r="E15" s="16" t="s">
        <v>19</v>
      </c>
      <c r="F15" s="16"/>
      <c r="G15" s="16"/>
      <c r="H15" s="16"/>
    </row>
    <row r="16" spans="1:8" x14ac:dyDescent="0.25">
      <c r="C16" s="19" t="s">
        <v>125</v>
      </c>
      <c r="D16" s="19"/>
      <c r="E16" s="17" t="s">
        <v>104</v>
      </c>
      <c r="F16" s="17"/>
      <c r="G16" s="17"/>
      <c r="H16" s="17"/>
    </row>
    <row r="17" spans="3:8" x14ac:dyDescent="0.25">
      <c r="C17" s="19"/>
      <c r="D17" s="19"/>
      <c r="E17" s="16" t="s">
        <v>16</v>
      </c>
      <c r="F17" s="16"/>
      <c r="G17" s="16"/>
      <c r="H17" s="16"/>
    </row>
    <row r="18" spans="3:8" x14ac:dyDescent="0.25">
      <c r="C18" s="19"/>
      <c r="D18" s="19"/>
      <c r="E18" s="17" t="s">
        <v>14</v>
      </c>
      <c r="F18" s="17"/>
      <c r="G18" s="17"/>
      <c r="H18" s="17"/>
    </row>
    <row r="19" spans="3:8" x14ac:dyDescent="0.25">
      <c r="C19" s="19"/>
      <c r="D19" s="19"/>
      <c r="E19" s="16" t="s">
        <v>15</v>
      </c>
      <c r="F19" s="16"/>
      <c r="G19" s="16"/>
      <c r="H19" s="16"/>
    </row>
    <row r="20" spans="3:8" x14ac:dyDescent="0.25">
      <c r="C20" s="19" t="s">
        <v>126</v>
      </c>
      <c r="D20" s="19"/>
      <c r="E20" s="17" t="s">
        <v>127</v>
      </c>
      <c r="F20" s="17"/>
      <c r="G20" s="17"/>
      <c r="H20" s="17"/>
    </row>
    <row r="21" spans="3:8" x14ac:dyDescent="0.25">
      <c r="C21" s="19"/>
      <c r="D21" s="19"/>
      <c r="E21" s="16" t="s">
        <v>128</v>
      </c>
      <c r="F21" s="16"/>
      <c r="G21" s="16"/>
      <c r="H21" s="16"/>
    </row>
    <row r="22" spans="3:8" x14ac:dyDescent="0.25">
      <c r="C22" s="19"/>
      <c r="D22" s="19"/>
      <c r="E22" s="17" t="s">
        <v>129</v>
      </c>
      <c r="F22" s="17"/>
      <c r="G22" s="17"/>
      <c r="H22" s="17"/>
    </row>
    <row r="23" spans="3:8" x14ac:dyDescent="0.25">
      <c r="C23" s="19" t="s">
        <v>130</v>
      </c>
      <c r="D23" s="19"/>
      <c r="E23" s="16" t="s">
        <v>131</v>
      </c>
      <c r="F23" s="16"/>
      <c r="G23" s="16"/>
      <c r="H23" s="16"/>
    </row>
    <row r="24" spans="3:8" x14ac:dyDescent="0.25">
      <c r="C24" s="19"/>
      <c r="D24" s="19"/>
      <c r="E24" s="17" t="s">
        <v>132</v>
      </c>
      <c r="F24" s="17"/>
      <c r="G24" s="17"/>
      <c r="H24" s="17"/>
    </row>
    <row r="25" spans="3:8" x14ac:dyDescent="0.25">
      <c r="C25" s="19" t="s">
        <v>141</v>
      </c>
      <c r="D25" s="19"/>
      <c r="E25" s="16" t="s">
        <v>133</v>
      </c>
      <c r="F25" s="16"/>
      <c r="G25" s="16"/>
      <c r="H25" s="16"/>
    </row>
    <row r="26" spans="3:8" x14ac:dyDescent="0.25">
      <c r="C26" s="19"/>
      <c r="D26" s="19"/>
      <c r="E26" s="17" t="s">
        <v>134</v>
      </c>
      <c r="F26" s="17"/>
      <c r="G26" s="17"/>
      <c r="H26" s="17"/>
    </row>
    <row r="27" spans="3:8" x14ac:dyDescent="0.25">
      <c r="C27" s="21" t="s">
        <v>142</v>
      </c>
      <c r="D27" s="21"/>
      <c r="E27" s="16">
        <v>0</v>
      </c>
      <c r="F27" s="16"/>
      <c r="G27" s="16"/>
      <c r="H27" s="16"/>
    </row>
    <row r="28" spans="3:8" x14ac:dyDescent="0.25">
      <c r="C28" s="21"/>
      <c r="D28" s="21"/>
      <c r="E28" s="17" t="s">
        <v>135</v>
      </c>
      <c r="F28" s="17"/>
      <c r="G28" s="17"/>
      <c r="H28" s="17"/>
    </row>
    <row r="29" spans="3:8" x14ac:dyDescent="0.25">
      <c r="C29" s="21"/>
      <c r="D29" s="21"/>
      <c r="E29" s="16" t="s">
        <v>136</v>
      </c>
      <c r="F29" s="16"/>
      <c r="G29" s="16"/>
      <c r="H29" s="16"/>
    </row>
    <row r="30" spans="3:8" x14ac:dyDescent="0.25">
      <c r="C30" s="21"/>
      <c r="D30" s="21"/>
      <c r="E30" s="17" t="s">
        <v>137</v>
      </c>
      <c r="F30" s="17"/>
      <c r="G30" s="17"/>
      <c r="H30" s="17"/>
    </row>
    <row r="35" spans="3:10" x14ac:dyDescent="0.25">
      <c r="C35" s="18" t="s">
        <v>138</v>
      </c>
      <c r="D35" s="18"/>
      <c r="E35" s="18" t="s">
        <v>139</v>
      </c>
      <c r="F35" s="18"/>
      <c r="G35" s="18" t="s">
        <v>140</v>
      </c>
      <c r="H35" s="18"/>
      <c r="I35" s="18" t="s">
        <v>181</v>
      </c>
      <c r="J35" s="18"/>
    </row>
    <row r="36" spans="3:10" x14ac:dyDescent="0.25">
      <c r="C36" s="18"/>
      <c r="D36" s="18"/>
      <c r="E36" s="18"/>
      <c r="F36" s="18"/>
      <c r="G36" s="18" t="s">
        <v>140</v>
      </c>
      <c r="H36" s="18"/>
      <c r="I36" s="18" t="s">
        <v>140</v>
      </c>
      <c r="J36" s="18"/>
    </row>
    <row r="37" spans="3:10" x14ac:dyDescent="0.25">
      <c r="C37" s="25" t="s">
        <v>130</v>
      </c>
      <c r="D37" s="26"/>
      <c r="E37" s="22" t="s">
        <v>176</v>
      </c>
      <c r="F37" s="16"/>
      <c r="G37" s="16"/>
      <c r="H37" s="16"/>
      <c r="I37" s="25" t="s">
        <v>132</v>
      </c>
      <c r="J37" s="26"/>
    </row>
    <row r="38" spans="3:10" x14ac:dyDescent="0.25">
      <c r="C38" s="27"/>
      <c r="D38" s="28"/>
      <c r="E38" s="24" t="s">
        <v>177</v>
      </c>
      <c r="F38" s="16"/>
      <c r="G38" s="16"/>
      <c r="H38" s="16"/>
      <c r="I38" s="27"/>
      <c r="J38" s="28"/>
    </row>
    <row r="39" spans="3:10" x14ac:dyDescent="0.25">
      <c r="C39" s="27"/>
      <c r="D39" s="28"/>
      <c r="E39" s="22" t="s">
        <v>178</v>
      </c>
      <c r="F39" s="16"/>
      <c r="G39" s="16"/>
      <c r="H39" s="16"/>
      <c r="I39" s="27"/>
      <c r="J39" s="28"/>
    </row>
    <row r="40" spans="3:10" x14ac:dyDescent="0.25">
      <c r="C40" s="27"/>
      <c r="D40" s="28"/>
      <c r="E40" s="22" t="s">
        <v>179</v>
      </c>
      <c r="F40" s="16"/>
      <c r="G40" s="16"/>
      <c r="H40" s="16"/>
      <c r="I40" s="27"/>
      <c r="J40" s="28"/>
    </row>
    <row r="41" spans="3:10" x14ac:dyDescent="0.25">
      <c r="C41" s="29"/>
      <c r="D41" s="30"/>
      <c r="E41" s="23" t="s">
        <v>180</v>
      </c>
      <c r="F41" s="17"/>
      <c r="G41" s="17"/>
      <c r="H41" s="17"/>
      <c r="I41" s="29"/>
      <c r="J41" s="30"/>
    </row>
    <row r="42" spans="3:10" x14ac:dyDescent="0.25">
      <c r="C42" s="19" t="s">
        <v>125</v>
      </c>
      <c r="D42" s="19"/>
      <c r="E42" s="17" t="s">
        <v>104</v>
      </c>
      <c r="F42" s="17"/>
      <c r="G42" s="17"/>
      <c r="H42" s="17"/>
      <c r="I42" s="19" t="s">
        <v>173</v>
      </c>
      <c r="J42" s="19"/>
    </row>
    <row r="43" spans="3:10" x14ac:dyDescent="0.25">
      <c r="C43" s="19"/>
      <c r="D43" s="19"/>
      <c r="E43" s="16" t="s">
        <v>16</v>
      </c>
      <c r="F43" s="16"/>
      <c r="G43" s="16"/>
      <c r="H43" s="16"/>
      <c r="I43" s="19"/>
      <c r="J43" s="19"/>
    </row>
    <row r="44" spans="3:10" x14ac:dyDescent="0.25">
      <c r="C44" s="19"/>
      <c r="D44" s="19"/>
      <c r="E44" s="17" t="s">
        <v>14</v>
      </c>
      <c r="F44" s="17"/>
      <c r="G44" s="17"/>
      <c r="H44" s="17"/>
      <c r="I44" s="19"/>
      <c r="J44" s="19"/>
    </row>
    <row r="45" spans="3:10" x14ac:dyDescent="0.25">
      <c r="C45" s="19"/>
      <c r="D45" s="19"/>
      <c r="E45" s="16" t="s">
        <v>15</v>
      </c>
      <c r="F45" s="16"/>
      <c r="G45" s="16"/>
      <c r="H45" s="16"/>
      <c r="I45" s="19"/>
      <c r="J45" s="19"/>
    </row>
    <row r="46" spans="3:10" x14ac:dyDescent="0.25">
      <c r="C46" s="21" t="s">
        <v>142</v>
      </c>
      <c r="D46" s="21"/>
      <c r="E46" s="16">
        <v>0</v>
      </c>
      <c r="F46" s="16"/>
      <c r="G46" s="16"/>
      <c r="H46" s="16"/>
      <c r="I46" s="21" t="s">
        <v>174</v>
      </c>
      <c r="J46" s="21"/>
    </row>
    <row r="47" spans="3:10" x14ac:dyDescent="0.25">
      <c r="C47" s="21"/>
      <c r="D47" s="21"/>
      <c r="E47" s="17" t="s">
        <v>135</v>
      </c>
      <c r="F47" s="17"/>
      <c r="G47" s="17"/>
      <c r="H47" s="17"/>
      <c r="I47" s="21"/>
      <c r="J47" s="21"/>
    </row>
    <row r="48" spans="3:10" x14ac:dyDescent="0.25">
      <c r="C48" s="21"/>
      <c r="D48" s="21"/>
      <c r="E48" s="16" t="s">
        <v>136</v>
      </c>
      <c r="F48" s="16"/>
      <c r="G48" s="16"/>
      <c r="H48" s="16"/>
      <c r="I48" s="21"/>
      <c r="J48" s="21"/>
    </row>
    <row r="49" spans="3:10" x14ac:dyDescent="0.25">
      <c r="C49" s="21"/>
      <c r="D49" s="21"/>
      <c r="E49" s="17" t="s">
        <v>137</v>
      </c>
      <c r="F49" s="17"/>
      <c r="G49" s="17"/>
      <c r="H49" s="17"/>
      <c r="I49" s="21"/>
      <c r="J49" s="21"/>
    </row>
    <row r="50" spans="3:10" x14ac:dyDescent="0.25">
      <c r="C50" s="19" t="s">
        <v>141</v>
      </c>
      <c r="D50" s="19"/>
      <c r="E50" s="16" t="s">
        <v>133</v>
      </c>
      <c r="F50" s="16"/>
      <c r="G50" s="16"/>
      <c r="H50" s="16"/>
      <c r="I50" s="19" t="s">
        <v>175</v>
      </c>
      <c r="J50" s="19"/>
    </row>
    <row r="51" spans="3:10" x14ac:dyDescent="0.25">
      <c r="C51" s="19"/>
      <c r="D51" s="19"/>
      <c r="E51" s="17" t="s">
        <v>134</v>
      </c>
      <c r="F51" s="17"/>
      <c r="G51" s="17"/>
      <c r="H51" s="17"/>
      <c r="I51" s="19"/>
      <c r="J51" s="19"/>
    </row>
    <row r="52" spans="3:10" x14ac:dyDescent="0.25">
      <c r="C52" s="19" t="s">
        <v>0</v>
      </c>
      <c r="D52" s="19"/>
      <c r="E52" s="17" t="s">
        <v>18</v>
      </c>
      <c r="F52" s="17"/>
      <c r="G52" s="17"/>
      <c r="H52" s="17"/>
      <c r="I52" s="19" t="s">
        <v>18</v>
      </c>
      <c r="J52" s="19"/>
    </row>
    <row r="53" spans="3:10" x14ac:dyDescent="0.25">
      <c r="C53" s="19"/>
      <c r="D53" s="19"/>
      <c r="E53" s="16" t="s">
        <v>19</v>
      </c>
      <c r="F53" s="16"/>
      <c r="G53" s="16"/>
      <c r="H53" s="16"/>
      <c r="I53" s="19"/>
      <c r="J53" s="19"/>
    </row>
    <row r="54" spans="3:10" x14ac:dyDescent="0.25">
      <c r="C54" s="19" t="s">
        <v>126</v>
      </c>
      <c r="D54" s="19"/>
      <c r="E54" s="17" t="s">
        <v>127</v>
      </c>
      <c r="F54" s="17"/>
      <c r="G54" s="17"/>
      <c r="H54" s="17"/>
      <c r="I54" s="19" t="s">
        <v>182</v>
      </c>
      <c r="J54" s="19"/>
    </row>
    <row r="55" spans="3:10" x14ac:dyDescent="0.25">
      <c r="C55" s="19"/>
      <c r="D55" s="19"/>
      <c r="E55" s="16" t="s">
        <v>183</v>
      </c>
      <c r="F55" s="16"/>
      <c r="G55" s="16"/>
      <c r="H55" s="16"/>
      <c r="I55" s="19"/>
      <c r="J55" s="19"/>
    </row>
    <row r="56" spans="3:10" x14ac:dyDescent="0.25">
      <c r="C56" s="19"/>
      <c r="D56" s="19"/>
      <c r="E56" s="17" t="s">
        <v>184</v>
      </c>
      <c r="F56" s="17"/>
      <c r="G56" s="17"/>
      <c r="H56" s="17"/>
      <c r="I56" s="19"/>
      <c r="J56" s="19"/>
    </row>
    <row r="57" spans="3:10" x14ac:dyDescent="0.25">
      <c r="C57" s="19" t="s">
        <v>29</v>
      </c>
      <c r="D57" s="19"/>
      <c r="E57" s="17"/>
      <c r="F57" s="17"/>
      <c r="G57" s="17"/>
      <c r="H57" s="17"/>
      <c r="I57" s="19"/>
      <c r="J57" s="19"/>
    </row>
    <row r="58" spans="3:10" x14ac:dyDescent="0.25">
      <c r="C58" s="19"/>
      <c r="D58" s="19"/>
      <c r="E58" s="16"/>
      <c r="F58" s="16"/>
      <c r="G58" s="16"/>
      <c r="H58" s="16"/>
      <c r="I58" s="19"/>
      <c r="J58" s="19"/>
    </row>
    <row r="59" spans="3:10" x14ac:dyDescent="0.25">
      <c r="C59" s="19"/>
      <c r="D59" s="19"/>
      <c r="E59" s="17"/>
      <c r="F59" s="17"/>
      <c r="G59" s="17"/>
      <c r="H59" s="17"/>
      <c r="I59" s="19"/>
      <c r="J59" s="19"/>
    </row>
  </sheetData>
  <mergeCells count="108">
    <mergeCell ref="I35:J36"/>
    <mergeCell ref="C57:D59"/>
    <mergeCell ref="E57:F57"/>
    <mergeCell ref="G57:H57"/>
    <mergeCell ref="I57:J59"/>
    <mergeCell ref="E58:F58"/>
    <mergeCell ref="G58:H58"/>
    <mergeCell ref="E59:F59"/>
    <mergeCell ref="G59:H59"/>
    <mergeCell ref="I54:J56"/>
    <mergeCell ref="C37:D41"/>
    <mergeCell ref="I37:J41"/>
    <mergeCell ref="I42:J45"/>
    <mergeCell ref="I46:J49"/>
    <mergeCell ref="I50:J51"/>
    <mergeCell ref="I52:J53"/>
    <mergeCell ref="C54:D56"/>
    <mergeCell ref="E54:F54"/>
    <mergeCell ref="G54:H54"/>
    <mergeCell ref="E55:F55"/>
    <mergeCell ref="G55:H55"/>
    <mergeCell ref="E56:F56"/>
    <mergeCell ref="G56:H56"/>
    <mergeCell ref="C52:D53"/>
    <mergeCell ref="E52:F52"/>
    <mergeCell ref="G52:H52"/>
    <mergeCell ref="E53:F53"/>
    <mergeCell ref="G53:H53"/>
    <mergeCell ref="C50:D51"/>
    <mergeCell ref="E50:F50"/>
    <mergeCell ref="G50:H50"/>
    <mergeCell ref="E51:F51"/>
    <mergeCell ref="G51:H51"/>
    <mergeCell ref="C46:D49"/>
    <mergeCell ref="E46:F46"/>
    <mergeCell ref="G46:H46"/>
    <mergeCell ref="E47:F47"/>
    <mergeCell ref="G47:H47"/>
    <mergeCell ref="E48:F48"/>
    <mergeCell ref="G48:H48"/>
    <mergeCell ref="E49:F49"/>
    <mergeCell ref="G49:H49"/>
    <mergeCell ref="C42:D45"/>
    <mergeCell ref="E42:F42"/>
    <mergeCell ref="G42:H42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37:F37"/>
    <mergeCell ref="G37:H37"/>
    <mergeCell ref="E38:F38"/>
    <mergeCell ref="G38:H38"/>
    <mergeCell ref="E39:F39"/>
    <mergeCell ref="G39:H39"/>
    <mergeCell ref="C35:D36"/>
    <mergeCell ref="E35:F36"/>
    <mergeCell ref="G35:H36"/>
    <mergeCell ref="A1:H4"/>
    <mergeCell ref="C16:D19"/>
    <mergeCell ref="C20:D22"/>
    <mergeCell ref="C23:D24"/>
    <mergeCell ref="C25:D2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C27:D30"/>
    <mergeCell ref="G16:H16"/>
    <mergeCell ref="G17:H17"/>
    <mergeCell ref="G18:H18"/>
    <mergeCell ref="G19:H19"/>
    <mergeCell ref="G29:H29"/>
    <mergeCell ref="G30:H30"/>
    <mergeCell ref="E27:F27"/>
    <mergeCell ref="E28:F28"/>
    <mergeCell ref="E29:F29"/>
    <mergeCell ref="E30:F30"/>
    <mergeCell ref="G12:H13"/>
    <mergeCell ref="E12:F13"/>
    <mergeCell ref="C12:D13"/>
    <mergeCell ref="E15:F15"/>
    <mergeCell ref="E14:F14"/>
    <mergeCell ref="G15:H15"/>
    <mergeCell ref="G14:H14"/>
    <mergeCell ref="C14:D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7D25-F0EE-4ABD-BC3E-7E708E09B2EF}">
  <sheetPr codeName="Sheet2"/>
  <dimension ref="A1:E11"/>
  <sheetViews>
    <sheetView workbookViewId="0">
      <selection activeCell="E39" sqref="E39"/>
    </sheetView>
  </sheetViews>
  <sheetFormatPr defaultRowHeight="15" x14ac:dyDescent="0.25"/>
  <cols>
    <col min="2" max="2" width="15.7109375" customWidth="1"/>
    <col min="3" max="3" width="13.140625" customWidth="1"/>
    <col min="4" max="4" width="13.7109375" customWidth="1"/>
    <col min="5" max="5" width="13.42578125" customWidth="1"/>
    <col min="6" max="6" width="11.7109375" customWidth="1"/>
    <col min="7" max="7" width="10" customWidth="1"/>
  </cols>
  <sheetData>
    <row r="1" spans="1:5" ht="15" customHeight="1" x14ac:dyDescent="0.25">
      <c r="A1" s="31" t="s">
        <v>13</v>
      </c>
      <c r="B1" s="32"/>
      <c r="C1" s="32"/>
      <c r="D1" s="33"/>
    </row>
    <row r="2" spans="1:5" x14ac:dyDescent="0.25">
      <c r="A2" s="34"/>
      <c r="B2" s="35"/>
      <c r="C2" s="35"/>
      <c r="D2" s="36"/>
    </row>
    <row r="3" spans="1:5" x14ac:dyDescent="0.25">
      <c r="A3" s="37"/>
      <c r="B3" s="38"/>
      <c r="C3" s="38"/>
      <c r="D3" s="39"/>
    </row>
    <row r="5" spans="1:5" x14ac:dyDescent="0.25">
      <c r="A5" t="s">
        <v>29</v>
      </c>
      <c r="B5" t="s">
        <v>0</v>
      </c>
      <c r="C5" t="s">
        <v>11</v>
      </c>
      <c r="D5" t="s">
        <v>7</v>
      </c>
      <c r="E5" t="s">
        <v>10</v>
      </c>
    </row>
    <row r="6" spans="1:5" x14ac:dyDescent="0.25">
      <c r="A6" t="s">
        <v>35</v>
      </c>
      <c r="B6" t="s">
        <v>18</v>
      </c>
      <c r="C6" t="s">
        <v>16</v>
      </c>
      <c r="D6" t="s">
        <v>20</v>
      </c>
      <c r="E6" t="s">
        <v>17</v>
      </c>
    </row>
    <row r="7" spans="1:5" x14ac:dyDescent="0.25">
      <c r="A7" t="s">
        <v>33</v>
      </c>
      <c r="B7" t="s">
        <v>19</v>
      </c>
      <c r="C7" t="s">
        <v>14</v>
      </c>
      <c r="D7" t="s">
        <v>21</v>
      </c>
      <c r="E7" t="s">
        <v>24</v>
      </c>
    </row>
    <row r="8" spans="1:5" x14ac:dyDescent="0.25">
      <c r="A8" t="s">
        <v>32</v>
      </c>
      <c r="C8" t="s">
        <v>15</v>
      </c>
      <c r="D8" t="s">
        <v>22</v>
      </c>
      <c r="E8" t="s">
        <v>26</v>
      </c>
    </row>
    <row r="9" spans="1:5" x14ac:dyDescent="0.25">
      <c r="A9" t="s">
        <v>34</v>
      </c>
      <c r="C9" t="s">
        <v>104</v>
      </c>
      <c r="D9" t="s">
        <v>23</v>
      </c>
      <c r="E9" t="s">
        <v>27</v>
      </c>
    </row>
    <row r="10" spans="1:5" x14ac:dyDescent="0.25">
      <c r="E10" t="s">
        <v>25</v>
      </c>
    </row>
    <row r="11" spans="1:5" x14ac:dyDescent="0.25">
      <c r="E11" t="s">
        <v>28</v>
      </c>
    </row>
  </sheetData>
  <mergeCells count="1">
    <mergeCell ref="A1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collection</vt:lpstr>
      <vt:lpstr>Benchmarking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Anson (Energy, Newcastle)</dc:creator>
  <cp:lastModifiedBy>Brinsmead, Thomas (Energy, Newcastle)</cp:lastModifiedBy>
  <dcterms:created xsi:type="dcterms:W3CDTF">2015-06-05T18:17:20Z</dcterms:created>
  <dcterms:modified xsi:type="dcterms:W3CDTF">2021-01-20T02:44:07Z</dcterms:modified>
</cp:coreProperties>
</file>