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setup" sheetId="1" r:id="rId1"/>
    <sheet name="1 intro" sheetId="3" r:id="rId2"/>
    <sheet name="2 records" sheetId="2" r:id="rId3"/>
    <sheet name="my_recoreds" sheetId="16" r:id="rId4"/>
    <sheet name="3 T" sheetId="4" r:id="rId5"/>
    <sheet name="4 S" sheetId="5" r:id="rId6"/>
    <sheet name="5 K" sheetId="6" r:id="rId7"/>
    <sheet name="6 vol" sheetId="7" r:id="rId8"/>
    <sheet name="7 other" sheetId="8" r:id="rId9"/>
    <sheet name="8 take profit" sheetId="9" r:id="rId10"/>
    <sheet name="9 stop loss" sheetId="10" r:id="rId11"/>
    <sheet name="10 plan" sheetId="11" r:id="rId12"/>
    <sheet name="11 watchlist" sheetId="14" r:id="rId13"/>
    <sheet name="12 entry" sheetId="12" r:id="rId14"/>
    <sheet name="13 exit" sheetId="13" r:id="rId15"/>
    <sheet name="14 diary" sheetId="15" r:id="rId16"/>
  </sheets>
  <calcPr calcId="144525"/>
</workbook>
</file>

<file path=xl/sharedStrings.xml><?xml version="1.0" encoding="utf-8"?>
<sst xmlns="http://schemas.openxmlformats.org/spreadsheetml/2006/main" count="1442" uniqueCount="224">
  <si>
    <t>7$qRL*.H5A6qTtf</t>
  </si>
  <si>
    <t>通过thinkback 练习covered call的基本操作，每月初，假设持有到期</t>
  </si>
  <si>
    <t>S</t>
  </si>
  <si>
    <t>SPY</t>
  </si>
  <si>
    <t>T</t>
  </si>
  <si>
    <t>30-50</t>
  </si>
  <si>
    <t>vol</t>
  </si>
  <si>
    <t>ignore</t>
  </si>
  <si>
    <t>K</t>
  </si>
  <si>
    <t>30D</t>
  </si>
  <si>
    <t>S - C_K</t>
  </si>
  <si>
    <t>From beginning of 2010</t>
  </si>
  <si>
    <t>type</t>
  </si>
  <si>
    <t>trade</t>
  </si>
  <si>
    <t>value</t>
  </si>
  <si>
    <t>qty</t>
  </si>
  <si>
    <t>multiple</t>
  </si>
  <si>
    <t>total</t>
  </si>
  <si>
    <t>IV</t>
  </si>
  <si>
    <t>days</t>
  </si>
  <si>
    <t>CP</t>
  </si>
  <si>
    <t>AE</t>
  </si>
  <si>
    <t>delta</t>
  </si>
  <si>
    <t>gamma</t>
  </si>
  <si>
    <t>theta</t>
  </si>
  <si>
    <t>vega</t>
  </si>
  <si>
    <t>zeta</t>
  </si>
  <si>
    <t>max profit</t>
  </si>
  <si>
    <t>max loss</t>
  </si>
  <si>
    <t>BE</t>
  </si>
  <si>
    <t>PnL</t>
  </si>
  <si>
    <t>call option</t>
  </si>
  <si>
    <t>C</t>
  </si>
  <si>
    <t>A</t>
  </si>
  <si>
    <t>stock</t>
  </si>
  <si>
    <t>PnL Open</t>
  </si>
  <si>
    <t>date</t>
  </si>
  <si>
    <t>entry price</t>
  </si>
  <si>
    <t xml:space="preserve">qty </t>
  </si>
  <si>
    <t>entry cashflow</t>
  </si>
  <si>
    <t>cap price</t>
  </si>
  <si>
    <t>-</t>
  </si>
  <si>
    <t>position</t>
  </si>
  <si>
    <t>option</t>
  </si>
  <si>
    <t>option time</t>
  </si>
  <si>
    <t>option intrinsic</t>
  </si>
  <si>
    <t>pnl delta</t>
  </si>
  <si>
    <t>pnl gamma</t>
  </si>
  <si>
    <t>pnl theta</t>
  </si>
  <si>
    <t>pnl vega</t>
  </si>
  <si>
    <t>daily pnl</t>
  </si>
  <si>
    <t>pnl total</t>
  </si>
  <si>
    <t>covered call</t>
  </si>
  <si>
    <t>start</t>
  </si>
  <si>
    <t>lo</t>
  </si>
  <si>
    <t>hi</t>
  </si>
  <si>
    <t>end</t>
  </si>
  <si>
    <t>win/loss</t>
  </si>
  <si>
    <t>amount</t>
  </si>
  <si>
    <t>simple stock</t>
  </si>
  <si>
    <t>diff</t>
  </si>
  <si>
    <t>loss</t>
  </si>
  <si>
    <t>win</t>
  </si>
  <si>
    <t>rate</t>
  </si>
  <si>
    <t>expected</t>
  </si>
  <si>
    <t>strategy</t>
  </si>
  <si>
    <t>vs buy &amp; hold</t>
  </si>
  <si>
    <t>initial investment</t>
  </si>
  <si>
    <t>return</t>
  </si>
  <si>
    <t>当天股价涨X组合盈利多少</t>
  </si>
  <si>
    <t>隐含波动率变化X组合盈利多少</t>
  </si>
  <si>
    <t>离到期</t>
  </si>
  <si>
    <t>用excel记录基本交易信息</t>
  </si>
  <si>
    <t>ticker</t>
  </si>
  <si>
    <t>ID</t>
  </si>
  <si>
    <t>SPY C117 20100917</t>
  </si>
  <si>
    <t>CC SPY C117 20100917</t>
  </si>
  <si>
    <t>CC SPY C117 20100917  C103 20110917</t>
  </si>
  <si>
    <t>year of 2011</t>
  </si>
  <si>
    <t>25D</t>
  </si>
  <si>
    <t>mid price</t>
  </si>
  <si>
    <t>slippage</t>
  </si>
  <si>
    <t>fee</t>
  </si>
  <si>
    <t>entry</t>
  </si>
  <si>
    <t>SPY C132 20110218</t>
  </si>
  <si>
    <t>CC SPY C132 20110218</t>
  </si>
  <si>
    <t>stock pnl</t>
  </si>
  <si>
    <t>pnl</t>
  </si>
  <si>
    <t>stock price</t>
  </si>
  <si>
    <t>option premium</t>
  </si>
  <si>
    <t>exit</t>
  </si>
  <si>
    <t>take profit</t>
  </si>
  <si>
    <t>stop loss</t>
  </si>
  <si>
    <t>adjust</t>
  </si>
  <si>
    <t>expire</t>
  </si>
  <si>
    <t>record</t>
  </si>
  <si>
    <t>basic</t>
  </si>
  <si>
    <t>evaluate</t>
  </si>
  <si>
    <t>id</t>
  </si>
  <si>
    <t>Strategy</t>
  </si>
  <si>
    <t>Account</t>
  </si>
  <si>
    <t>entry date</t>
  </si>
  <si>
    <t>time</t>
  </si>
  <si>
    <t>status</t>
  </si>
  <si>
    <t>investment</t>
  </si>
  <si>
    <t>risk pct</t>
  </si>
  <si>
    <t>return on investment</t>
  </si>
  <si>
    <t>sweet low</t>
  </si>
  <si>
    <t>sweet high</t>
  </si>
  <si>
    <t>win/loss (vs BH)</t>
  </si>
  <si>
    <t>PnL (vs BH)</t>
  </si>
  <si>
    <t>premium</t>
  </si>
  <si>
    <t>28943-JDPKL</t>
  </si>
  <si>
    <t>CC</t>
  </si>
  <si>
    <t>NJ1</t>
  </si>
  <si>
    <t>18843-SLGBU</t>
  </si>
  <si>
    <t>01543-VYPWF</t>
  </si>
  <si>
    <t>69504-MBUGR</t>
  </si>
  <si>
    <t>38753-IQFKN</t>
  </si>
  <si>
    <t>10145-FRRFV</t>
  </si>
  <si>
    <t>20250-VYMVF</t>
  </si>
  <si>
    <t>02726-GRIAG</t>
  </si>
  <si>
    <t>19428-YBXKP</t>
  </si>
  <si>
    <t>18423-KYCRQ</t>
  </si>
  <si>
    <t>67897-LTRQS</t>
  </si>
  <si>
    <t>vs BH</t>
  </si>
  <si>
    <t>止损线</t>
  </si>
  <si>
    <t>最大亏损</t>
  </si>
  <si>
    <t>正股价</t>
  </si>
  <si>
    <t>行权价</t>
  </si>
  <si>
    <t>期权价格</t>
  </si>
  <si>
    <t>sweet high/low</t>
  </si>
  <si>
    <t>Strategy
（策略）</t>
  </si>
  <si>
    <t>Account
（账号随便写）</t>
  </si>
  <si>
    <t>entry date
（交易时间）</t>
  </si>
  <si>
    <t>time
（交易时间）</t>
  </si>
  <si>
    <t>stock price
（正股价格）</t>
  </si>
  <si>
    <t>date
（期权到期时间）</t>
  </si>
  <si>
    <t>stock price
（到期时正股价格）</t>
  </si>
  <si>
    <t>status退出原因</t>
  </si>
  <si>
    <t>investment
（策略的支出）</t>
  </si>
  <si>
    <t>return on investment
（收益率）</t>
  </si>
  <si>
    <t>sweet low
（盈利区间low）</t>
  </si>
  <si>
    <t>sweet high
（盈利区间high）</t>
  </si>
  <si>
    <t>win/loss
（策略整体是否获利）</t>
  </si>
  <si>
    <t>amount
（=pnl）</t>
  </si>
  <si>
    <t>win/loss (vs BH)
（策略较之单纯持股是否获利）</t>
  </si>
  <si>
    <t>PnL (vs BH)
（单纯持股每手收益）</t>
  </si>
  <si>
    <t>amount
（策略较单纯持股每手差异）</t>
  </si>
  <si>
    <t>随机生成的id</t>
  </si>
  <si>
    <t>CC（covercall）</t>
  </si>
  <si>
    <t>增加entry条件</t>
  </si>
  <si>
    <t>Secrets of Economic Indicators</t>
  </si>
  <si>
    <t>30-45 days</t>
  </si>
  <si>
    <t>https://m.gelonghui.com/p/133347</t>
  </si>
  <si>
    <t>no events ahead</t>
  </si>
  <si>
    <t>market watch -&gt; calendar</t>
  </si>
  <si>
    <t>year of 2012</t>
  </si>
  <si>
    <t>25-45</t>
  </si>
  <si>
    <t>FOMC</t>
  </si>
  <si>
    <t>ex-dividend</t>
  </si>
  <si>
    <t>exit date</t>
  </si>
  <si>
    <t>BH PnL</t>
  </si>
  <si>
    <t>Pnl (vs BH)</t>
  </si>
  <si>
    <t>10381-LXPTT</t>
  </si>
  <si>
    <t>94965-EGBSZ</t>
  </si>
  <si>
    <t>52127-GKIGZ</t>
  </si>
  <si>
    <t>08123-MIODN</t>
  </si>
  <si>
    <t>72651-HKDZD</t>
  </si>
  <si>
    <t>56130-ZVSCC</t>
  </si>
  <si>
    <t>59677-NTWBO</t>
  </si>
  <si>
    <t>55571-FFBZQ</t>
  </si>
  <si>
    <t>15910-IDAOQ</t>
  </si>
  <si>
    <t>SPX Adj Close</t>
  </si>
  <si>
    <t>VIX Adj Close</t>
  </si>
  <si>
    <t>uptrend &amp; stable: boring in the short term,</t>
  </si>
  <si>
    <t>thrilled to own for the long run</t>
  </si>
  <si>
    <t>Low debt</t>
  </si>
  <si>
    <t>Mature enough, not cyclical</t>
  </si>
  <si>
    <t>Volume &gt; 1 million shares a day</t>
  </si>
  <si>
    <t>Better pay dividends, &lt; 5%, less than 40% of net profit</t>
  </si>
  <si>
    <t>sideways</t>
  </si>
  <si>
    <t>choppiness index. sideways if &gt; 61.8, trendy if &lt;38.2</t>
  </si>
  <si>
    <t>Choppiness Index</t>
  </si>
  <si>
    <t>Signal</t>
  </si>
  <si>
    <t>Unclear</t>
  </si>
  <si>
    <t>Trendy</t>
  </si>
  <si>
    <t>scan -&gt; option hacker</t>
  </si>
  <si>
    <t>where delta close to 0.4</t>
  </si>
  <si>
    <t>OTM 2%-5%, delta 0.2</t>
  </si>
  <si>
    <t>if between 38.2 and 61.8, pick delta = 0.2</t>
  </si>
  <si>
    <t>if larger than 61.8, sideways, pick delta = 0.4</t>
  </si>
  <si>
    <t>if smaller than 38.2, not enter the trade</t>
  </si>
  <si>
    <t>Delta</t>
  </si>
  <si>
    <t>AAPL</t>
  </si>
  <si>
    <t>between 30 and 70</t>
  </si>
  <si>
    <t>Choppiness index: 38.2/61.8, if &gt; 61.8, trade in a range, good to do covered call</t>
  </si>
  <si>
    <t>Average Directional Index: if &gt; 25, a trend is on</t>
  </si>
  <si>
    <t>Bollinger Bands: middle is 20EMA</t>
  </si>
  <si>
    <t>if band too wide, too volatile</t>
  </si>
  <si>
    <t>If band too narrow, prepared for breakout, farther distance</t>
  </si>
  <si>
    <t>Parabolic SAR: useful when trendy</t>
  </si>
  <si>
    <t>earninigs</t>
  </si>
  <si>
    <t>30-70</t>
  </si>
  <si>
    <t>if larger than 61.8, sideways, pick delta = 0.3</t>
  </si>
  <si>
    <t>IVOL</t>
  </si>
  <si>
    <t>appl</t>
  </si>
  <si>
    <t>BH</t>
  </si>
  <si>
    <t>BAC</t>
  </si>
  <si>
    <t>bank of america</t>
  </si>
  <si>
    <t>other</t>
  </si>
  <si>
    <t>增加exit条件</t>
  </si>
  <si>
    <t>2 &amp; 20 rule: if the price of buying back</t>
  </si>
  <si>
    <t>is less than 20% of the price you paid,</t>
  </si>
  <si>
    <t>within the first 2 weeks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</si>
  <si>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</si>
  <si>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matters most is the underlying</t>
  </si>
  <si>
    <t>Don't wish your options can turn the tide</t>
  </si>
  <si>
    <t>用excel拟好trading plan</t>
  </si>
  <si>
    <t>列出目标资产</t>
  </si>
  <si>
    <t>进阶及汇总entry</t>
  </si>
  <si>
    <t>进阶及汇总exit</t>
  </si>
  <si>
    <t>sideways (1% rule): when time value is &lt; 1% * underlying price, roll over</t>
  </si>
  <si>
    <t>用excel记录trading diary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</si>
</sst>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4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21"/>
      <color rgb="FF0F1111"/>
      <name val="Arial"/>
      <charset val="134"/>
    </font>
    <font>
      <i/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176" fontId="0" fillId="0" borderId="0" xfId="8" applyFont="1"/>
    <xf numFmtId="176" fontId="0" fillId="0" borderId="0" xfId="0" applyNumberFormat="1"/>
    <xf numFmtId="10" fontId="0" fillId="0" borderId="0" xfId="11" applyNumberFormat="1" applyFont="1"/>
    <xf numFmtId="14" fontId="0" fillId="3" borderId="0" xfId="0" applyNumberFormat="1" applyFill="1"/>
    <xf numFmtId="0" fontId="0" fillId="3" borderId="0" xfId="0" applyFill="1"/>
    <xf numFmtId="20" fontId="0" fillId="0" borderId="0" xfId="0" applyNumberFormat="1"/>
    <xf numFmtId="14" fontId="0" fillId="2" borderId="0" xfId="0" applyNumberFormat="1" applyFill="1"/>
    <xf numFmtId="176" fontId="0" fillId="2" borderId="0" xfId="8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176" fontId="0" fillId="3" borderId="0" xfId="8" applyFont="1" applyFill="1"/>
    <xf numFmtId="0" fontId="0" fillId="0" borderId="0" xfId="0" applyAlignment="1">
      <alignment wrapText="1"/>
    </xf>
    <xf numFmtId="9" fontId="0" fillId="0" borderId="0" xfId="0" applyNumberFormat="1"/>
    <xf numFmtId="176" fontId="0" fillId="4" borderId="0" xfId="8" applyFont="1" applyFill="1"/>
    <xf numFmtId="14" fontId="0" fillId="4" borderId="0" xfId="0" applyNumberFormat="1" applyFill="1"/>
    <xf numFmtId="0" fontId="4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wrapText="1"/>
    </xf>
    <xf numFmtId="176" fontId="0" fillId="0" borderId="0" xfId="8" applyFont="1" applyAlignment="1">
      <alignment horizontal="center" vertical="center"/>
    </xf>
    <xf numFmtId="0" fontId="0" fillId="6" borderId="0" xfId="0" applyFill="1"/>
    <xf numFmtId="176" fontId="0" fillId="4" borderId="0" xfId="0" applyNumberFormat="1" applyFill="1" applyAlignment="1">
      <alignment horizontal="center" vertical="center"/>
    </xf>
    <xf numFmtId="9" fontId="0" fillId="6" borderId="0" xfId="0" applyNumberFormat="1" applyFill="1"/>
    <xf numFmtId="176" fontId="0" fillId="6" borderId="0" xfId="0" applyNumberFormat="1" applyFill="1"/>
    <xf numFmtId="10" fontId="0" fillId="4" borderId="0" xfId="11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9" fontId="0" fillId="0" borderId="0" xfId="11" applyFont="1"/>
    <xf numFmtId="14" fontId="0" fillId="0" borderId="0" xfId="8" applyNumberFormat="1" applyFont="1"/>
    <xf numFmtId="0" fontId="0" fillId="7" borderId="0" xfId="0" applyFill="1"/>
    <xf numFmtId="176" fontId="0" fillId="7" borderId="0" xfId="8" applyFont="1" applyFill="1"/>
    <xf numFmtId="176" fontId="0" fillId="0" borderId="0" xfId="8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352425</xdr:colOff>
      <xdr:row>1</xdr:row>
      <xdr:rowOff>2314575</xdr:rowOff>
    </xdr:from>
    <xdr:to>
      <xdr:col>22</xdr:col>
      <xdr:colOff>533400</xdr:colOff>
      <xdr:row>31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994900" y="2505075"/>
          <a:ext cx="720217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L156" sqref="L156"/>
    </sheetView>
  </sheetViews>
  <sheetFormatPr defaultColWidth="9" defaultRowHeight="14.25" outlineLevelRow="1" outlineLevelCol="1"/>
  <cols>
    <col min="1" max="1" width="3" customWidth="1"/>
    <col min="2" max="2" width="61.1416666666667" customWidth="1"/>
    <col min="3" max="3" width="15.2833333333333" customWidth="1"/>
  </cols>
  <sheetData>
    <row r="1" ht="15"/>
    <row r="2" ht="15" spans="2:2">
      <c r="B2" s="2" t="s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9"/>
  <sheetViews>
    <sheetView zoomScale="115" zoomScaleNormal="115" topLeftCell="A113" workbookViewId="0">
      <selection activeCell="A156" sqref="A156:Q159"/>
    </sheetView>
  </sheetViews>
  <sheetFormatPr defaultColWidth="9" defaultRowHeight="14.25"/>
  <cols>
    <col min="3" max="3" width="10.5666666666667" customWidth="1"/>
    <col min="4" max="4" width="14.8583333333333" customWidth="1"/>
    <col min="5" max="5" width="11.425" customWidth="1"/>
    <col min="6" max="6" width="13.375" customWidth="1"/>
    <col min="7" max="7" width="14.1416666666667" customWidth="1"/>
    <col min="8" max="8" width="15.1416666666667" customWidth="1"/>
    <col min="9" max="9" width="10.5666666666667" customWidth="1"/>
    <col min="10" max="10" width="10.7083333333333" customWidth="1"/>
    <col min="11" max="11" width="16.425" customWidth="1"/>
    <col min="12" max="13" width="10.7083333333333" customWidth="1"/>
  </cols>
  <sheetData>
    <row r="1" ht="15" spans="1:2">
      <c r="A1" s="1">
        <v>1</v>
      </c>
      <c r="B1" s="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8" spans="2:2">
      <c r="B8" t="s">
        <v>10</v>
      </c>
    </row>
    <row r="9" spans="2:2">
      <c r="B9" t="s">
        <v>11</v>
      </c>
    </row>
    <row r="11" spans="3:24"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</v>
      </c>
      <c r="J11" t="s">
        <v>8</v>
      </c>
      <c r="K11" t="s">
        <v>18</v>
      </c>
      <c r="L11" t="s">
        <v>4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30</v>
      </c>
    </row>
    <row r="12" spans="2:20">
      <c r="B12">
        <v>1</v>
      </c>
      <c r="C12" t="s">
        <v>31</v>
      </c>
      <c r="D12" s="6">
        <v>40182</v>
      </c>
      <c r="E12">
        <v>1.175</v>
      </c>
      <c r="F12">
        <v>-1</v>
      </c>
      <c r="G12">
        <v>100</v>
      </c>
      <c r="H12">
        <f>E12*F12*G12</f>
        <v>-117.5</v>
      </c>
      <c r="I12">
        <v>113.33</v>
      </c>
      <c r="J12">
        <v>117</v>
      </c>
      <c r="K12" s="23">
        <v>0.1609</v>
      </c>
      <c r="L12" s="42">
        <v>40228</v>
      </c>
      <c r="M12">
        <v>46</v>
      </c>
      <c r="N12" t="s">
        <v>32</v>
      </c>
      <c r="O12" t="s">
        <v>33</v>
      </c>
      <c r="P12">
        <v>-29.54</v>
      </c>
      <c r="Q12">
        <v>-5.32</v>
      </c>
      <c r="R12">
        <v>2.39</v>
      </c>
      <c r="S12">
        <v>-13.95</v>
      </c>
      <c r="T12">
        <v>27.6</v>
      </c>
    </row>
    <row r="13" spans="3:19">
      <c r="C13" t="s">
        <v>34</v>
      </c>
      <c r="D13" s="6">
        <v>40182</v>
      </c>
      <c r="E13">
        <v>113.33</v>
      </c>
      <c r="F13">
        <v>100</v>
      </c>
      <c r="G13">
        <v>1</v>
      </c>
      <c r="H13">
        <f>G13*F13*E13</f>
        <v>11333</v>
      </c>
      <c r="P13">
        <v>100</v>
      </c>
      <c r="Q13">
        <v>0</v>
      </c>
      <c r="R13">
        <v>0</v>
      </c>
      <c r="S13">
        <v>0</v>
      </c>
    </row>
    <row r="14" spans="3:23">
      <c r="C14" t="s">
        <v>17</v>
      </c>
      <c r="D14" s="6">
        <v>40182</v>
      </c>
      <c r="H14">
        <f>H13+H12</f>
        <v>11215.5</v>
      </c>
      <c r="P14">
        <v>70.46</v>
      </c>
      <c r="Q14">
        <v>-5.32</v>
      </c>
      <c r="R14">
        <v>2.39</v>
      </c>
      <c r="S14">
        <v>-13.95</v>
      </c>
      <c r="U14">
        <f>(J12-I12+E12)*100</f>
        <v>484.5</v>
      </c>
      <c r="W14">
        <f>I12-E12</f>
        <v>112.155</v>
      </c>
    </row>
    <row r="15" spans="3:24">
      <c r="C15" t="s">
        <v>31</v>
      </c>
      <c r="D15" s="6">
        <v>40229</v>
      </c>
      <c r="X15">
        <v>117.5</v>
      </c>
    </row>
    <row r="16" spans="3:24">
      <c r="C16" t="s">
        <v>34</v>
      </c>
      <c r="D16" s="6">
        <v>40229</v>
      </c>
      <c r="X16">
        <v>-219</v>
      </c>
    </row>
    <row r="17" spans="3:24">
      <c r="C17" t="s">
        <v>17</v>
      </c>
      <c r="D17" s="6">
        <v>40229</v>
      </c>
      <c r="X17">
        <f>X16+X15</f>
        <v>-101.5</v>
      </c>
    </row>
    <row r="23" spans="2:24">
      <c r="B23">
        <v>2</v>
      </c>
      <c r="C23" t="s">
        <v>12</v>
      </c>
      <c r="D23" t="s">
        <v>13</v>
      </c>
      <c r="E23" t="s">
        <v>35</v>
      </c>
      <c r="F23" t="s">
        <v>14</v>
      </c>
      <c r="G23" t="s">
        <v>15</v>
      </c>
      <c r="H23" t="s">
        <v>16</v>
      </c>
      <c r="I23" t="s">
        <v>17</v>
      </c>
      <c r="J23" t="s">
        <v>2</v>
      </c>
      <c r="K23" t="s">
        <v>8</v>
      </c>
      <c r="L23" t="s">
        <v>18</v>
      </c>
      <c r="M23" t="s">
        <v>4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</row>
    <row r="24" spans="3:21">
      <c r="C24" t="s">
        <v>31</v>
      </c>
      <c r="D24" s="6">
        <v>40210</v>
      </c>
      <c r="F24">
        <v>1.25</v>
      </c>
      <c r="G24">
        <v>-10</v>
      </c>
      <c r="H24">
        <v>100</v>
      </c>
      <c r="I24">
        <f>F24*G24*H24</f>
        <v>-1250</v>
      </c>
      <c r="J24">
        <f>F25</f>
        <v>109.06</v>
      </c>
      <c r="K24">
        <v>113</v>
      </c>
      <c r="L24" s="23">
        <v>0.1833</v>
      </c>
      <c r="M24" s="6">
        <v>40256</v>
      </c>
      <c r="N24">
        <v>46</v>
      </c>
      <c r="O24" t="s">
        <v>32</v>
      </c>
      <c r="P24" t="s">
        <v>33</v>
      </c>
      <c r="Q24">
        <v>-289.94</v>
      </c>
      <c r="R24">
        <v>-48.23</v>
      </c>
      <c r="S24">
        <v>24.54</v>
      </c>
      <c r="T24">
        <v>-132.84</v>
      </c>
      <c r="U24">
        <f>100-73.19</f>
        <v>26.81</v>
      </c>
    </row>
    <row r="25" spans="3:20">
      <c r="C25" t="s">
        <v>34</v>
      </c>
      <c r="D25" s="6">
        <v>40210</v>
      </c>
      <c r="F25">
        <v>109.06</v>
      </c>
      <c r="G25">
        <v>1000</v>
      </c>
      <c r="H25">
        <v>1</v>
      </c>
      <c r="I25">
        <f>F25*G25*H25</f>
        <v>109060</v>
      </c>
      <c r="Q25">
        <v>1000</v>
      </c>
      <c r="R25">
        <v>0</v>
      </c>
      <c r="S25">
        <v>0</v>
      </c>
      <c r="T25">
        <v>0</v>
      </c>
    </row>
    <row r="26" spans="3:24">
      <c r="C26" t="s">
        <v>17</v>
      </c>
      <c r="D26" s="6">
        <v>40210</v>
      </c>
      <c r="I26">
        <f>I25+I24</f>
        <v>107810</v>
      </c>
      <c r="Q26">
        <f>Q25+Q24</f>
        <v>710.06</v>
      </c>
      <c r="R26">
        <f t="shared" ref="R26:T26" si="0">R25+R24</f>
        <v>-48.23</v>
      </c>
      <c r="S26">
        <f t="shared" si="0"/>
        <v>24.54</v>
      </c>
      <c r="T26">
        <f t="shared" si="0"/>
        <v>-132.84</v>
      </c>
      <c r="V26">
        <f>K24-J24+F24</f>
        <v>5.19</v>
      </c>
      <c r="X26">
        <f>J24-F24</f>
        <v>107.81</v>
      </c>
    </row>
    <row r="27" spans="3:5">
      <c r="C27" t="s">
        <v>31</v>
      </c>
      <c r="D27" s="6">
        <v>40257</v>
      </c>
      <c r="E27">
        <v>-1720</v>
      </c>
    </row>
    <row r="28" spans="3:6">
      <c r="C28" t="s">
        <v>34</v>
      </c>
      <c r="D28" s="6">
        <v>40257</v>
      </c>
      <c r="E28">
        <v>6910</v>
      </c>
      <c r="F28">
        <v>115.97</v>
      </c>
    </row>
    <row r="29" spans="3:5">
      <c r="C29" t="s">
        <v>17</v>
      </c>
      <c r="D29" s="6">
        <v>40257</v>
      </c>
      <c r="E29">
        <f>E28+E27</f>
        <v>5190</v>
      </c>
    </row>
    <row r="31" spans="2:19">
      <c r="B31">
        <v>3</v>
      </c>
      <c r="C31" t="s">
        <v>13</v>
      </c>
      <c r="D31" t="s">
        <v>12</v>
      </c>
      <c r="E31" t="s">
        <v>36</v>
      </c>
      <c r="F31" t="s">
        <v>37</v>
      </c>
      <c r="G31" t="s">
        <v>38</v>
      </c>
      <c r="H31" t="s">
        <v>39</v>
      </c>
      <c r="I31" t="s">
        <v>2</v>
      </c>
      <c r="J31" t="s">
        <v>8</v>
      </c>
      <c r="K31" t="s">
        <v>18</v>
      </c>
      <c r="L31" t="s">
        <v>4</v>
      </c>
      <c r="M31" t="s">
        <v>19</v>
      </c>
      <c r="N31" t="s">
        <v>20</v>
      </c>
      <c r="O31" t="s">
        <v>21</v>
      </c>
      <c r="P31" t="s">
        <v>27</v>
      </c>
      <c r="Q31" t="s">
        <v>28</v>
      </c>
      <c r="R31" t="s">
        <v>29</v>
      </c>
      <c r="S31" t="s">
        <v>40</v>
      </c>
    </row>
    <row r="32" spans="4:19">
      <c r="D32" t="s">
        <v>31</v>
      </c>
      <c r="E32" s="6">
        <v>40238</v>
      </c>
      <c r="F32">
        <v>0.955</v>
      </c>
      <c r="G32">
        <v>-1</v>
      </c>
      <c r="H32">
        <f>F32*G32*100</f>
        <v>-95.5</v>
      </c>
      <c r="I32">
        <f>F33</f>
        <v>111.89</v>
      </c>
      <c r="J32">
        <v>114</v>
      </c>
      <c r="K32">
        <v>15.19</v>
      </c>
      <c r="L32" s="6">
        <v>40268</v>
      </c>
      <c r="M32">
        <v>30</v>
      </c>
      <c r="N32" t="s">
        <v>32</v>
      </c>
      <c r="O32" t="s">
        <v>33</v>
      </c>
      <c r="P32">
        <f>J32-I32+F32</f>
        <v>3.065</v>
      </c>
      <c r="Q32" t="s">
        <v>41</v>
      </c>
      <c r="R32">
        <f>I32-F32</f>
        <v>110.935</v>
      </c>
      <c r="S32">
        <f>J32+F32</f>
        <v>114.955</v>
      </c>
    </row>
    <row r="33" spans="4:8">
      <c r="D33" t="s">
        <v>34</v>
      </c>
      <c r="E33" s="6">
        <v>40238</v>
      </c>
      <c r="F33">
        <v>111.89</v>
      </c>
      <c r="G33">
        <v>100</v>
      </c>
      <c r="H33">
        <f>F33*G33</f>
        <v>11189</v>
      </c>
    </row>
    <row r="34" spans="4:8">
      <c r="D34" t="s">
        <v>17</v>
      </c>
      <c r="E34" s="6">
        <v>40238</v>
      </c>
      <c r="H34" s="7">
        <f>H33+H32</f>
        <v>11093.5</v>
      </c>
    </row>
    <row r="36" spans="3:15">
      <c r="C36" t="s">
        <v>42</v>
      </c>
      <c r="D36" t="s">
        <v>36</v>
      </c>
      <c r="E36" t="s">
        <v>34</v>
      </c>
      <c r="F36" t="s">
        <v>43</v>
      </c>
      <c r="G36" t="s">
        <v>17</v>
      </c>
      <c r="H36" t="s">
        <v>35</v>
      </c>
      <c r="I36" t="s">
        <v>18</v>
      </c>
      <c r="J36" t="s">
        <v>4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4:15">
      <c r="D37" s="6">
        <v>40238</v>
      </c>
      <c r="E37" s="8">
        <f>H33</f>
        <v>11189</v>
      </c>
      <c r="F37">
        <f>H32</f>
        <v>-95.5</v>
      </c>
      <c r="G37" s="8">
        <f>E37+F37</f>
        <v>11093.5</v>
      </c>
      <c r="I37">
        <v>15.19</v>
      </c>
      <c r="J37">
        <v>30</v>
      </c>
      <c r="K37">
        <v>68.81</v>
      </c>
      <c r="L37">
        <v>-7.32</v>
      </c>
      <c r="M37">
        <v>2.44</v>
      </c>
      <c r="N37">
        <v>-11.37</v>
      </c>
      <c r="O37">
        <f>100-70.48</f>
        <v>29.52</v>
      </c>
    </row>
    <row r="38" spans="4:8">
      <c r="D38" s="6">
        <v>40269</v>
      </c>
      <c r="E38" s="7">
        <v>11780</v>
      </c>
      <c r="F38">
        <v>-300</v>
      </c>
      <c r="G38" s="8">
        <f>E38+F38</f>
        <v>11480</v>
      </c>
      <c r="H38" s="8">
        <f>G38-G37</f>
        <v>386.5</v>
      </c>
    </row>
    <row r="39" spans="5:8">
      <c r="E39" s="8"/>
      <c r="H39" s="8"/>
    </row>
    <row r="42" spans="2:19">
      <c r="B42">
        <v>4</v>
      </c>
      <c r="C42" t="s">
        <v>13</v>
      </c>
      <c r="D42" t="s">
        <v>12</v>
      </c>
      <c r="E42" t="s">
        <v>36</v>
      </c>
      <c r="F42" t="s">
        <v>37</v>
      </c>
      <c r="G42" t="s">
        <v>38</v>
      </c>
      <c r="H42" t="s">
        <v>39</v>
      </c>
      <c r="I42" t="s">
        <v>2</v>
      </c>
      <c r="J42" t="s">
        <v>8</v>
      </c>
      <c r="K42" t="s">
        <v>18</v>
      </c>
      <c r="L42" t="s">
        <v>4</v>
      </c>
      <c r="M42" t="s">
        <v>19</v>
      </c>
      <c r="N42" t="s">
        <v>20</v>
      </c>
      <c r="O42" t="s">
        <v>21</v>
      </c>
      <c r="P42" t="s">
        <v>27</v>
      </c>
      <c r="Q42" t="s">
        <v>28</v>
      </c>
      <c r="R42" t="s">
        <v>29</v>
      </c>
      <c r="S42" t="s">
        <v>40</v>
      </c>
    </row>
    <row r="43" spans="4:19">
      <c r="D43" t="s">
        <v>31</v>
      </c>
      <c r="E43" s="6">
        <v>40269</v>
      </c>
      <c r="F43" s="7">
        <v>0.94</v>
      </c>
      <c r="G43" s="7">
        <v>-1</v>
      </c>
      <c r="H43" s="7">
        <f>F43*G43*100</f>
        <v>-94</v>
      </c>
      <c r="I43" s="7">
        <f>F44</f>
        <v>117.8</v>
      </c>
      <c r="J43" s="7">
        <v>122</v>
      </c>
      <c r="K43" s="7">
        <v>14.1</v>
      </c>
      <c r="L43" s="6">
        <v>40319</v>
      </c>
      <c r="M43" s="7">
        <v>50</v>
      </c>
      <c r="N43" s="7" t="s">
        <v>32</v>
      </c>
      <c r="O43" s="7" t="s">
        <v>33</v>
      </c>
      <c r="P43" s="7">
        <f>J43-I43+F43</f>
        <v>5.14</v>
      </c>
      <c r="Q43" s="7">
        <v>0</v>
      </c>
      <c r="R43" s="7">
        <f>I43-F43</f>
        <v>116.86</v>
      </c>
      <c r="S43" s="7">
        <f>J43+F43</f>
        <v>122.94</v>
      </c>
    </row>
    <row r="44" spans="4:11">
      <c r="D44" t="s">
        <v>34</v>
      </c>
      <c r="E44" s="6">
        <v>40269</v>
      </c>
      <c r="F44" s="7">
        <v>117.8</v>
      </c>
      <c r="G44" s="7">
        <v>100</v>
      </c>
      <c r="H44" s="7">
        <f>F44*G44</f>
        <v>11780</v>
      </c>
      <c r="I44" s="7"/>
      <c r="J44" s="7"/>
      <c r="K44" s="7"/>
    </row>
    <row r="45" spans="4:11">
      <c r="D45" t="s">
        <v>17</v>
      </c>
      <c r="E45" s="6">
        <v>40269</v>
      </c>
      <c r="F45" s="7"/>
      <c r="G45" s="7"/>
      <c r="H45" s="7">
        <f>H44+H43</f>
        <v>11686</v>
      </c>
      <c r="I45" s="7"/>
      <c r="J45" s="7"/>
      <c r="K45" s="7"/>
    </row>
    <row r="47" spans="3:16">
      <c r="C47" t="s">
        <v>42</v>
      </c>
      <c r="D47" t="s">
        <v>36</v>
      </c>
      <c r="E47" t="s">
        <v>34</v>
      </c>
      <c r="F47" t="s">
        <v>44</v>
      </c>
      <c r="G47" t="s">
        <v>45</v>
      </c>
      <c r="H47" t="s">
        <v>17</v>
      </c>
      <c r="I47" t="s">
        <v>35</v>
      </c>
      <c r="J47" t="s">
        <v>18</v>
      </c>
      <c r="K47" t="s">
        <v>4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</row>
    <row r="48" spans="4:16">
      <c r="D48" s="6">
        <v>40269</v>
      </c>
      <c r="E48" s="7">
        <f>H44</f>
        <v>11780</v>
      </c>
      <c r="F48" s="7">
        <f>H43</f>
        <v>-94</v>
      </c>
      <c r="G48" s="7">
        <v>0</v>
      </c>
      <c r="H48" s="7">
        <f>E48+F48+G48</f>
        <v>11686</v>
      </c>
      <c r="I48" s="7"/>
      <c r="J48" s="7">
        <v>14.1</v>
      </c>
      <c r="K48" s="7">
        <v>50</v>
      </c>
      <c r="L48" s="7">
        <v>74.08</v>
      </c>
      <c r="M48" s="7">
        <v>-5.25</v>
      </c>
      <c r="N48" s="7">
        <v>1.98</v>
      </c>
      <c r="O48" s="7">
        <v>-14.19</v>
      </c>
      <c r="P48" s="7">
        <f>100-75.74</f>
        <v>24.26</v>
      </c>
    </row>
    <row r="49" spans="4:16">
      <c r="D49" s="6">
        <v>40301</v>
      </c>
      <c r="E49" s="7">
        <v>12035</v>
      </c>
      <c r="F49" s="7">
        <v>-93.5</v>
      </c>
      <c r="G49" s="7">
        <v>0</v>
      </c>
      <c r="H49" s="7">
        <f t="shared" ref="H49:H50" si="1">E49+F49+G49</f>
        <v>11941.5</v>
      </c>
      <c r="I49" s="7">
        <f>H49-H48</f>
        <v>255.5</v>
      </c>
      <c r="J49" s="7">
        <v>15.14</v>
      </c>
      <c r="K49" s="7">
        <v>18</v>
      </c>
      <c r="L49" s="7">
        <v>65.23</v>
      </c>
      <c r="M49" s="7">
        <v>-9.05</v>
      </c>
      <c r="N49" s="7">
        <v>4.1</v>
      </c>
      <c r="O49" s="7">
        <v>-9.97</v>
      </c>
      <c r="P49" s="7">
        <f>100-66.48</f>
        <v>33.52</v>
      </c>
    </row>
    <row r="50" spans="4:16">
      <c r="D50" s="6">
        <v>40320</v>
      </c>
      <c r="E50" s="7">
        <v>10911.5</v>
      </c>
      <c r="F50" s="7">
        <v>0</v>
      </c>
      <c r="G50" s="7">
        <v>0</v>
      </c>
      <c r="H50" s="7">
        <f t="shared" si="1"/>
        <v>10911.5</v>
      </c>
      <c r="I50" s="7">
        <f>H50-H48</f>
        <v>-774.5</v>
      </c>
      <c r="J50" s="7"/>
      <c r="K50" s="7"/>
      <c r="L50" s="7"/>
      <c r="M50" s="7"/>
      <c r="N50" s="7"/>
      <c r="O50" s="7"/>
      <c r="P50" s="7"/>
    </row>
    <row r="53" spans="2:19">
      <c r="B53">
        <v>5</v>
      </c>
      <c r="C53" t="s">
        <v>13</v>
      </c>
      <c r="D53" t="s">
        <v>12</v>
      </c>
      <c r="E53" t="s">
        <v>36</v>
      </c>
      <c r="F53" t="s">
        <v>37</v>
      </c>
      <c r="G53" t="s">
        <v>38</v>
      </c>
      <c r="H53" t="s">
        <v>39</v>
      </c>
      <c r="I53" t="s">
        <v>2</v>
      </c>
      <c r="J53" t="s">
        <v>8</v>
      </c>
      <c r="K53" t="s">
        <v>18</v>
      </c>
      <c r="L53" t="s">
        <v>4</v>
      </c>
      <c r="M53" t="s">
        <v>19</v>
      </c>
      <c r="N53" t="s">
        <v>20</v>
      </c>
      <c r="O53" t="s">
        <v>21</v>
      </c>
      <c r="P53" t="s">
        <v>27</v>
      </c>
      <c r="Q53" t="s">
        <v>28</v>
      </c>
      <c r="R53" t="s">
        <v>29</v>
      </c>
      <c r="S53" t="s">
        <v>40</v>
      </c>
    </row>
    <row r="54" spans="4:19">
      <c r="D54" t="s">
        <v>31</v>
      </c>
      <c r="E54" s="6">
        <v>40301</v>
      </c>
      <c r="F54" s="7">
        <v>1.18</v>
      </c>
      <c r="G54" s="7">
        <v>-1</v>
      </c>
      <c r="H54" s="7">
        <f>F54*G54*100</f>
        <v>-118</v>
      </c>
      <c r="I54" s="7">
        <f>F55</f>
        <v>120.35</v>
      </c>
      <c r="J54" s="7">
        <v>124</v>
      </c>
      <c r="K54" s="7">
        <v>15.73</v>
      </c>
      <c r="L54" s="6">
        <v>40347</v>
      </c>
      <c r="M54" s="7">
        <v>46</v>
      </c>
      <c r="N54" s="7" t="s">
        <v>32</v>
      </c>
      <c r="O54" s="7" t="s">
        <v>33</v>
      </c>
      <c r="P54" s="7">
        <f>J54-I54+F54</f>
        <v>4.83000000000001</v>
      </c>
      <c r="Q54" s="7">
        <v>0</v>
      </c>
      <c r="R54" s="7">
        <f>I54-F54</f>
        <v>119.17</v>
      </c>
      <c r="S54" s="7">
        <f>J54+F54</f>
        <v>125.18</v>
      </c>
    </row>
    <row r="55" spans="4:11">
      <c r="D55" t="s">
        <v>34</v>
      </c>
      <c r="E55" s="6">
        <v>40301</v>
      </c>
      <c r="F55" s="7">
        <v>120.35</v>
      </c>
      <c r="G55" s="7">
        <v>100</v>
      </c>
      <c r="H55" s="7">
        <f>F55*G55</f>
        <v>12035</v>
      </c>
      <c r="I55" s="7"/>
      <c r="J55" s="7"/>
      <c r="K55" s="7"/>
    </row>
    <row r="56" spans="4:11">
      <c r="D56" t="s">
        <v>17</v>
      </c>
      <c r="E56" s="6">
        <v>40301</v>
      </c>
      <c r="F56" s="7"/>
      <c r="G56" s="7"/>
      <c r="H56" s="7">
        <f>H55+H54</f>
        <v>11917</v>
      </c>
      <c r="I56" s="7"/>
      <c r="J56" s="7"/>
      <c r="K56" s="7"/>
    </row>
    <row r="58" spans="3:16">
      <c r="C58" t="s">
        <v>42</v>
      </c>
      <c r="D58" t="s">
        <v>36</v>
      </c>
      <c r="E58" t="s">
        <v>34</v>
      </c>
      <c r="F58" t="s">
        <v>44</v>
      </c>
      <c r="G58" t="s">
        <v>45</v>
      </c>
      <c r="H58" t="s">
        <v>17</v>
      </c>
      <c r="I58" t="s">
        <v>35</v>
      </c>
      <c r="J58" t="s">
        <v>18</v>
      </c>
      <c r="K58" t="s">
        <v>4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 spans="4:16">
      <c r="D59" s="6">
        <v>40301</v>
      </c>
      <c r="E59" s="7">
        <f>H55</f>
        <v>12035</v>
      </c>
      <c r="F59" s="7">
        <f>H54</f>
        <v>-118</v>
      </c>
      <c r="G59" s="7">
        <v>0</v>
      </c>
      <c r="H59" s="7">
        <f>E59+F59+G59</f>
        <v>11917</v>
      </c>
      <c r="I59" s="7"/>
      <c r="J59" s="7">
        <f>K54</f>
        <v>15.73</v>
      </c>
      <c r="K59" s="7">
        <f>M54</f>
        <v>46</v>
      </c>
      <c r="L59" s="7">
        <v>71.17</v>
      </c>
      <c r="M59" s="7">
        <v>-5.09</v>
      </c>
      <c r="N59" s="7">
        <v>2.27</v>
      </c>
      <c r="O59" s="7">
        <v>-14.63</v>
      </c>
      <c r="P59" s="7">
        <f>100-73.05</f>
        <v>26.95</v>
      </c>
    </row>
    <row r="60" spans="4:16">
      <c r="D60" s="6">
        <v>40326</v>
      </c>
      <c r="E60" s="7">
        <v>10936.9</v>
      </c>
      <c r="F60" s="7">
        <f>-100*0.025</f>
        <v>-2.5</v>
      </c>
      <c r="G60" s="7">
        <v>0</v>
      </c>
      <c r="H60" s="7">
        <f t="shared" ref="H60:H61" si="2">E60+F60+G60</f>
        <v>10934.4</v>
      </c>
      <c r="I60" s="7">
        <f>H60-H59</f>
        <v>-982.6</v>
      </c>
      <c r="J60" s="7">
        <v>23.52</v>
      </c>
      <c r="K60" s="7">
        <v>21</v>
      </c>
      <c r="L60" s="7">
        <v>98.81</v>
      </c>
      <c r="M60" s="7">
        <v>-0.05</v>
      </c>
      <c r="N60" s="7">
        <v>0.4</v>
      </c>
      <c r="O60" s="7">
        <v>-0.83</v>
      </c>
      <c r="P60" s="7">
        <f>100-98.98</f>
        <v>1.02</v>
      </c>
    </row>
    <row r="61" spans="4:16">
      <c r="D61" s="6">
        <v>40348</v>
      </c>
      <c r="E61" s="7">
        <v>11172.9</v>
      </c>
      <c r="F61" s="7">
        <v>0</v>
      </c>
      <c r="G61" s="7">
        <v>0</v>
      </c>
      <c r="H61" s="7">
        <f t="shared" si="2"/>
        <v>11172.9</v>
      </c>
      <c r="I61" s="7">
        <f>H61-H59</f>
        <v>-744.1</v>
      </c>
      <c r="J61" s="7"/>
      <c r="K61" s="7"/>
      <c r="L61" s="7"/>
      <c r="M61" s="7"/>
      <c r="N61" s="7"/>
      <c r="O61" s="7"/>
      <c r="P61" s="7"/>
    </row>
    <row r="63" spans="2:19">
      <c r="B63">
        <v>6</v>
      </c>
      <c r="C63" t="s">
        <v>13</v>
      </c>
      <c r="D63" t="s">
        <v>12</v>
      </c>
      <c r="E63" t="s">
        <v>36</v>
      </c>
      <c r="F63" t="s">
        <v>37</v>
      </c>
      <c r="G63" t="s">
        <v>38</v>
      </c>
      <c r="H63" t="s">
        <v>39</v>
      </c>
      <c r="I63" t="s">
        <v>2</v>
      </c>
      <c r="J63" t="s">
        <v>8</v>
      </c>
      <c r="K63" t="s">
        <v>18</v>
      </c>
      <c r="L63" t="s">
        <v>4</v>
      </c>
      <c r="M63" t="s">
        <v>19</v>
      </c>
      <c r="N63" t="s">
        <v>20</v>
      </c>
      <c r="O63" t="s">
        <v>21</v>
      </c>
      <c r="P63" t="s">
        <v>27</v>
      </c>
      <c r="Q63" t="s">
        <v>28</v>
      </c>
      <c r="R63" t="s">
        <v>29</v>
      </c>
      <c r="S63" t="s">
        <v>40</v>
      </c>
    </row>
    <row r="64" spans="4:19">
      <c r="D64" t="s">
        <v>31</v>
      </c>
      <c r="E64" s="6">
        <v>40330</v>
      </c>
      <c r="F64" s="7">
        <v>1.36</v>
      </c>
      <c r="G64" s="7">
        <v>-1</v>
      </c>
      <c r="H64" s="7">
        <f>F64*G64*100</f>
        <v>-136</v>
      </c>
      <c r="I64" s="7">
        <f>F65</f>
        <v>107.53</v>
      </c>
      <c r="J64" s="7">
        <v>112</v>
      </c>
      <c r="K64" s="7">
        <v>26.51</v>
      </c>
      <c r="L64" s="6">
        <v>40359</v>
      </c>
      <c r="M64" s="7">
        <v>29</v>
      </c>
      <c r="N64" s="7" t="s">
        <v>32</v>
      </c>
      <c r="O64" s="7" t="s">
        <v>33</v>
      </c>
      <c r="P64" s="7">
        <f>J64-I64+F64</f>
        <v>5.83</v>
      </c>
      <c r="Q64" s="7">
        <v>0</v>
      </c>
      <c r="R64" s="7">
        <f>I64-F64</f>
        <v>106.17</v>
      </c>
      <c r="S64" s="7">
        <f>J64+F64</f>
        <v>113.36</v>
      </c>
    </row>
    <row r="65" spans="4:11">
      <c r="D65" t="s">
        <v>34</v>
      </c>
      <c r="E65" s="6">
        <v>40330</v>
      </c>
      <c r="F65" s="7">
        <v>107.53</v>
      </c>
      <c r="G65" s="7">
        <v>100</v>
      </c>
      <c r="H65" s="7">
        <f>F65*G65</f>
        <v>10753</v>
      </c>
      <c r="I65" s="7"/>
      <c r="J65" s="7"/>
      <c r="K65" s="7"/>
    </row>
    <row r="66" spans="4:11">
      <c r="D66" t="s">
        <v>17</v>
      </c>
      <c r="E66" s="6">
        <v>40330</v>
      </c>
      <c r="F66" s="7"/>
      <c r="G66" s="7"/>
      <c r="H66" s="7">
        <f>H65+H64</f>
        <v>10617</v>
      </c>
      <c r="I66" s="7"/>
      <c r="J66" s="7"/>
      <c r="K66" s="7"/>
    </row>
    <row r="68" spans="3:23">
      <c r="C68" t="s">
        <v>42</v>
      </c>
      <c r="D68" t="s">
        <v>36</v>
      </c>
      <c r="E68" t="s">
        <v>34</v>
      </c>
      <c r="F68" t="s">
        <v>44</v>
      </c>
      <c r="G68" t="s">
        <v>45</v>
      </c>
      <c r="H68" t="s">
        <v>17</v>
      </c>
      <c r="I68" t="s">
        <v>35</v>
      </c>
      <c r="J68" t="s">
        <v>18</v>
      </c>
      <c r="K68" t="s">
        <v>4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</v>
      </c>
      <c r="R68" t="s">
        <v>46</v>
      </c>
      <c r="S68" t="s">
        <v>47</v>
      </c>
      <c r="T68" t="s">
        <v>48</v>
      </c>
      <c r="U68" t="s">
        <v>49</v>
      </c>
      <c r="V68" t="s">
        <v>50</v>
      </c>
      <c r="W68" t="s">
        <v>51</v>
      </c>
    </row>
    <row r="69" spans="4:17">
      <c r="D69" s="6">
        <f>E64</f>
        <v>40330</v>
      </c>
      <c r="E69" s="7">
        <f>H65</f>
        <v>10753</v>
      </c>
      <c r="F69" s="7">
        <f>H64</f>
        <v>-136</v>
      </c>
      <c r="G69" s="7">
        <v>0</v>
      </c>
      <c r="H69" s="7">
        <f>E69+F69+G69</f>
        <v>10617</v>
      </c>
      <c r="I69" s="7"/>
      <c r="J69" s="7">
        <f>K64</f>
        <v>26.51</v>
      </c>
      <c r="K69" s="7">
        <f>M64</f>
        <v>29</v>
      </c>
      <c r="L69" s="7">
        <v>71.78</v>
      </c>
      <c r="M69" s="7">
        <v>-4.21</v>
      </c>
      <c r="N69" s="7">
        <v>4.13</v>
      </c>
      <c r="O69" s="7">
        <v>-10.27</v>
      </c>
      <c r="P69" s="7">
        <f>100-74.26</f>
        <v>25.74</v>
      </c>
      <c r="Q69" s="7">
        <v>107.53</v>
      </c>
    </row>
    <row r="70" spans="4:23">
      <c r="D70" s="6">
        <v>40331</v>
      </c>
      <c r="E70" s="7">
        <v>11033</v>
      </c>
      <c r="F70" s="7">
        <v>-195</v>
      </c>
      <c r="G70" s="7">
        <v>0</v>
      </c>
      <c r="H70" s="7">
        <f t="shared" ref="H70:H72" si="3">E70+F70+G70</f>
        <v>10838</v>
      </c>
      <c r="I70" s="7">
        <f>H70-H69</f>
        <v>221</v>
      </c>
      <c r="J70" s="7">
        <v>23.92</v>
      </c>
      <c r="K70" s="7">
        <v>28</v>
      </c>
      <c r="L70" s="7">
        <v>60.73</v>
      </c>
      <c r="M70" s="7">
        <v>-5.34</v>
      </c>
      <c r="N70" s="7">
        <v>4.2</v>
      </c>
      <c r="O70" s="7">
        <v>-11.75</v>
      </c>
      <c r="P70" s="7">
        <f>100-63.49</f>
        <v>36.51</v>
      </c>
      <c r="Q70" s="7">
        <v>110.33</v>
      </c>
      <c r="R70">
        <f>(Q70-Q69)*L69</f>
        <v>200.984</v>
      </c>
      <c r="S70" s="8">
        <f>0.5*M69*POWER(Q70-Q69,2)</f>
        <v>-16.5032</v>
      </c>
      <c r="T70" s="8">
        <f>N69</f>
        <v>4.13</v>
      </c>
      <c r="U70" s="7">
        <f>O69*(J70-J69)</f>
        <v>26.5993</v>
      </c>
      <c r="V70" s="8">
        <f>R70+S70+T70+U70</f>
        <v>215.2101</v>
      </c>
      <c r="W70">
        <f>SUM($V$69:V70)</f>
        <v>215.2101</v>
      </c>
    </row>
    <row r="71" spans="4:23">
      <c r="D71" s="6">
        <v>40332</v>
      </c>
      <c r="E71" s="7">
        <v>11071</v>
      </c>
      <c r="F71" s="7">
        <v>-218</v>
      </c>
      <c r="G71" s="7">
        <v>0</v>
      </c>
      <c r="H71" s="7">
        <f t="shared" si="3"/>
        <v>10853</v>
      </c>
      <c r="I71" s="7">
        <f>H71-H69</f>
        <v>236</v>
      </c>
      <c r="J71" s="7">
        <v>23.85</v>
      </c>
      <c r="K71" s="7">
        <v>27</v>
      </c>
      <c r="L71" s="7">
        <v>57.26</v>
      </c>
      <c r="M71" s="7">
        <v>-5.47</v>
      </c>
      <c r="N71" s="7">
        <v>4.79</v>
      </c>
      <c r="O71" s="7">
        <v>-11.86</v>
      </c>
      <c r="P71" s="7">
        <f>100-59.86</f>
        <v>40.14</v>
      </c>
      <c r="Q71" s="7">
        <v>110.71</v>
      </c>
      <c r="R71">
        <f>L70*(Q71-Q70)</f>
        <v>23.0773999999997</v>
      </c>
      <c r="S71" s="7">
        <f>0.5*M70*POWER(Q71-Q70,2)</f>
        <v>-0.385547999999991</v>
      </c>
      <c r="T71" s="7">
        <f>N70</f>
        <v>4.2</v>
      </c>
      <c r="U71" s="7">
        <f>O70*(J71-J70)</f>
        <v>0.822500000000003</v>
      </c>
      <c r="V71" s="7">
        <f>R71+S71+T71+U71</f>
        <v>27.7143519999997</v>
      </c>
      <c r="W71">
        <f>SUM($V$69:V71)</f>
        <v>242.924452</v>
      </c>
    </row>
    <row r="72" spans="4:23">
      <c r="D72" s="6">
        <v>40360</v>
      </c>
      <c r="E72" s="7">
        <v>10276</v>
      </c>
      <c r="F72" s="7">
        <v>0</v>
      </c>
      <c r="G72" s="7">
        <v>0</v>
      </c>
      <c r="H72" s="7">
        <f t="shared" si="3"/>
        <v>10276</v>
      </c>
      <c r="I72" s="7">
        <f>H72-H69</f>
        <v>-341</v>
      </c>
      <c r="J72" s="7"/>
      <c r="K72" s="7"/>
      <c r="L72" s="7"/>
      <c r="M72" s="7"/>
      <c r="N72" s="7"/>
      <c r="O72" s="7"/>
      <c r="P72" s="7"/>
      <c r="Q72" s="7">
        <v>102.76</v>
      </c>
      <c r="R72" s="7"/>
      <c r="S72" s="7"/>
      <c r="T72" s="7"/>
      <c r="U72" s="7"/>
      <c r="V72" s="7"/>
      <c r="W72" s="7"/>
    </row>
    <row r="76" spans="2:19">
      <c r="B76">
        <v>7</v>
      </c>
      <c r="C76" t="s">
        <v>13</v>
      </c>
      <c r="D76" t="s">
        <v>12</v>
      </c>
      <c r="E76" t="s">
        <v>36</v>
      </c>
      <c r="F76" t="s">
        <v>37</v>
      </c>
      <c r="G76" t="s">
        <v>38</v>
      </c>
      <c r="H76" t="s">
        <v>39</v>
      </c>
      <c r="I76" t="s">
        <v>2</v>
      </c>
      <c r="J76" t="s">
        <v>8</v>
      </c>
      <c r="K76" t="s">
        <v>18</v>
      </c>
      <c r="L76" t="s">
        <v>4</v>
      </c>
      <c r="M76" t="s">
        <v>19</v>
      </c>
      <c r="N76" t="s">
        <v>20</v>
      </c>
      <c r="O76" t="s">
        <v>21</v>
      </c>
      <c r="P76" t="s">
        <v>27</v>
      </c>
      <c r="Q76" t="s">
        <v>28</v>
      </c>
      <c r="R76" t="s">
        <v>29</v>
      </c>
      <c r="S76" t="s">
        <v>40</v>
      </c>
    </row>
    <row r="77" spans="4:15">
      <c r="D77" t="s">
        <v>43</v>
      </c>
      <c r="E77" s="6">
        <v>40360</v>
      </c>
      <c r="F77" s="7">
        <v>1.6</v>
      </c>
      <c r="G77" s="7">
        <v>-1</v>
      </c>
      <c r="H77" s="7">
        <f>F77*G77*100</f>
        <v>-160</v>
      </c>
      <c r="I77" s="7">
        <f>F78</f>
        <v>102.76</v>
      </c>
      <c r="J77" s="7">
        <v>109</v>
      </c>
      <c r="K77" s="7">
        <v>25.44</v>
      </c>
      <c r="L77" s="6">
        <v>40410</v>
      </c>
      <c r="M77" s="7">
        <v>50</v>
      </c>
      <c r="N77" s="7" t="s">
        <v>32</v>
      </c>
      <c r="O77" s="7" t="s">
        <v>33</v>
      </c>
    </row>
    <row r="78" spans="4:11">
      <c r="D78" t="s">
        <v>34</v>
      </c>
      <c r="E78" s="6">
        <v>40360</v>
      </c>
      <c r="F78" s="7">
        <v>102.76</v>
      </c>
      <c r="G78" s="7">
        <v>100</v>
      </c>
      <c r="H78" s="7">
        <f>F78*G78</f>
        <v>10276</v>
      </c>
      <c r="I78" s="7"/>
      <c r="J78" s="7"/>
      <c r="K78" s="7"/>
    </row>
    <row r="79" spans="4:19">
      <c r="D79" t="s">
        <v>52</v>
      </c>
      <c r="E79" s="6">
        <v>40360</v>
      </c>
      <c r="F79" s="7"/>
      <c r="G79" s="7"/>
      <c r="H79" s="7">
        <f>H78+H77</f>
        <v>10116</v>
      </c>
      <c r="I79" s="7"/>
      <c r="J79" s="7"/>
      <c r="K79" s="7"/>
      <c r="P79" s="7">
        <f>J77-I77+F77</f>
        <v>7.83999999999999</v>
      </c>
      <c r="Q79" s="7">
        <v>0</v>
      </c>
      <c r="R79" s="7">
        <f>I77-F77</f>
        <v>101.16</v>
      </c>
      <c r="S79" s="7">
        <f>J77+F77</f>
        <v>110.6</v>
      </c>
    </row>
    <row r="81" spans="3:23">
      <c r="C81" t="s">
        <v>42</v>
      </c>
      <c r="D81" t="s">
        <v>36</v>
      </c>
      <c r="E81" t="s">
        <v>34</v>
      </c>
      <c r="F81" t="s">
        <v>44</v>
      </c>
      <c r="G81" t="s">
        <v>45</v>
      </c>
      <c r="H81" t="s">
        <v>17</v>
      </c>
      <c r="I81" t="s">
        <v>35</v>
      </c>
      <c r="J81" t="s">
        <v>18</v>
      </c>
      <c r="K81" t="s">
        <v>4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</v>
      </c>
      <c r="R81" t="s">
        <v>46</v>
      </c>
      <c r="S81" t="s">
        <v>47</v>
      </c>
      <c r="T81" t="s">
        <v>48</v>
      </c>
      <c r="U81" t="s">
        <v>49</v>
      </c>
      <c r="V81" t="s">
        <v>50</v>
      </c>
      <c r="W81" t="s">
        <v>51</v>
      </c>
    </row>
    <row r="82" spans="4:23">
      <c r="D82" s="6">
        <f>E77</f>
        <v>40360</v>
      </c>
      <c r="E82" s="7">
        <f>H78</f>
        <v>10276</v>
      </c>
      <c r="F82" s="7">
        <f>H77</f>
        <v>-160</v>
      </c>
      <c r="G82" s="7">
        <v>0</v>
      </c>
      <c r="H82" s="7">
        <f>E82+F82+G82</f>
        <v>10116</v>
      </c>
      <c r="I82" s="7"/>
      <c r="J82" s="7">
        <f>K77</f>
        <v>25.44</v>
      </c>
      <c r="K82" s="7">
        <f>M77</f>
        <v>50</v>
      </c>
      <c r="L82" s="7">
        <v>72.06</v>
      </c>
      <c r="M82" s="7">
        <v>-3.47</v>
      </c>
      <c r="N82" s="7">
        <v>3.21</v>
      </c>
      <c r="O82" s="7">
        <v>-12.84</v>
      </c>
      <c r="P82" s="7">
        <f>100-75.13</f>
        <v>24.87</v>
      </c>
      <c r="Q82" s="7">
        <f>I77</f>
        <v>102.76</v>
      </c>
      <c r="R82" s="7"/>
      <c r="S82" s="7"/>
      <c r="T82" s="7"/>
      <c r="U82" s="7"/>
      <c r="V82" s="7"/>
      <c r="W82" s="7"/>
    </row>
    <row r="83" spans="4:23">
      <c r="D83" s="6">
        <v>40361</v>
      </c>
      <c r="E83" s="7">
        <v>10220</v>
      </c>
      <c r="F83" s="7">
        <v>-112</v>
      </c>
      <c r="G83" s="7">
        <v>0</v>
      </c>
      <c r="H83" s="7">
        <f t="shared" ref="H83:H86" si="4">E83+F83+G83</f>
        <v>10108</v>
      </c>
      <c r="I83" s="7">
        <f>H83-H$82</f>
        <v>-8</v>
      </c>
      <c r="J83" s="7">
        <v>23.3</v>
      </c>
      <c r="K83" s="7">
        <v>49</v>
      </c>
      <c r="L83" s="7">
        <v>77.05</v>
      </c>
      <c r="M83" s="7">
        <v>-3.47</v>
      </c>
      <c r="N83" s="7">
        <v>2.57</v>
      </c>
      <c r="O83" s="7">
        <v>-11.4</v>
      </c>
      <c r="P83" s="7">
        <f>110-79.53</f>
        <v>30.47</v>
      </c>
      <c r="Q83" s="7">
        <v>102.2</v>
      </c>
      <c r="R83" s="7">
        <f>(Q83-Q82)*L82</f>
        <v>-40.3536000000002</v>
      </c>
      <c r="S83" s="7">
        <f>0.5*M82*POWER(Q83-Q82,2)</f>
        <v>-0.544096000000004</v>
      </c>
      <c r="T83" s="7">
        <f>N82</f>
        <v>3.21</v>
      </c>
      <c r="U83" s="7">
        <f>O82*(J83-J82)</f>
        <v>27.4776</v>
      </c>
      <c r="V83" s="7">
        <f>R83+S83+T83+U83</f>
        <v>-10.2100960000002</v>
      </c>
      <c r="W83" s="7">
        <f>SUM($V$83:V83)</f>
        <v>-10.2100960000002</v>
      </c>
    </row>
    <row r="84" spans="4:23">
      <c r="D84" s="6">
        <v>40365</v>
      </c>
      <c r="E84" s="7">
        <v>10287</v>
      </c>
      <c r="F84" s="7">
        <v>-117.5</v>
      </c>
      <c r="G84" s="7">
        <v>0</v>
      </c>
      <c r="H84" s="7">
        <f t="shared" si="4"/>
        <v>10169.5</v>
      </c>
      <c r="I84" s="7">
        <f t="shared" ref="I84:I86" si="5">H84-H$82</f>
        <v>53.5</v>
      </c>
      <c r="J84" s="7">
        <v>22.81</v>
      </c>
      <c r="K84" s="7">
        <v>45</v>
      </c>
      <c r="L84" s="7">
        <v>75.17</v>
      </c>
      <c r="M84" s="7">
        <v>-3.83</v>
      </c>
      <c r="N84" s="7">
        <v>2.89</v>
      </c>
      <c r="O84" s="7">
        <v>-11.48</v>
      </c>
      <c r="P84" s="7">
        <f>100-77.64</f>
        <v>22.36</v>
      </c>
      <c r="Q84" s="7">
        <v>102.87</v>
      </c>
      <c r="R84" s="7">
        <f>L83*(Q84-Q83)</f>
        <v>51.6235000000001</v>
      </c>
      <c r="S84" s="7">
        <f>0.5*M83*POWER(Q84-Q83,2)</f>
        <v>-0.778841500000004</v>
      </c>
      <c r="T84" s="7">
        <f>N83*4</f>
        <v>10.28</v>
      </c>
      <c r="U84" s="7">
        <f>O83*(J84-J83)</f>
        <v>5.58600000000002</v>
      </c>
      <c r="V84" s="7">
        <f>R84+S84+T84+U84</f>
        <v>66.7106585000002</v>
      </c>
      <c r="W84" s="7">
        <f>SUM($V$83:V84)</f>
        <v>56.5005625</v>
      </c>
    </row>
    <row r="85" spans="4:23">
      <c r="D85" s="6">
        <v>40366</v>
      </c>
      <c r="E85" s="7">
        <v>10610.75</v>
      </c>
      <c r="F85" s="7">
        <v>-221.5</v>
      </c>
      <c r="G85" s="7">
        <v>0</v>
      </c>
      <c r="H85" s="7">
        <f t="shared" si="4"/>
        <v>10389.25</v>
      </c>
      <c r="I85" s="7">
        <f t="shared" si="5"/>
        <v>273.25</v>
      </c>
      <c r="J85" s="7">
        <v>23.22</v>
      </c>
      <c r="K85" s="7">
        <v>44</v>
      </c>
      <c r="L85" s="7">
        <v>61.48</v>
      </c>
      <c r="M85" s="7">
        <v>-4.45</v>
      </c>
      <c r="N85" s="7">
        <v>3.72</v>
      </c>
      <c r="O85" s="7">
        <v>-14.14</v>
      </c>
      <c r="P85" s="7">
        <f>100-64.54</f>
        <v>35.46</v>
      </c>
      <c r="Q85" s="7">
        <v>106.1</v>
      </c>
      <c r="R85" s="7">
        <f>L84*(Q85-Q84)</f>
        <v>242.799099999999</v>
      </c>
      <c r="S85" s="7">
        <f>0.5*M84*POWER(Q85-Q84,2)</f>
        <v>-19.9790034999999</v>
      </c>
      <c r="T85" s="7">
        <f>N84</f>
        <v>2.89</v>
      </c>
      <c r="U85" s="7">
        <f>O84*(J85-J84)</f>
        <v>-4.7068</v>
      </c>
      <c r="V85" s="7">
        <f>R85+S85+T85+U85</f>
        <v>221.003296499999</v>
      </c>
      <c r="W85" s="7">
        <f>SUM($V$83:V85)</f>
        <v>277.503858999999</v>
      </c>
    </row>
    <row r="86" spans="4:23">
      <c r="D86" s="6">
        <v>40411</v>
      </c>
      <c r="E86" s="7">
        <v>10753</v>
      </c>
      <c r="F86" s="7">
        <v>0</v>
      </c>
      <c r="G86" s="7">
        <v>0</v>
      </c>
      <c r="H86" s="7">
        <f t="shared" si="4"/>
        <v>10753</v>
      </c>
      <c r="I86" s="7">
        <f t="shared" si="5"/>
        <v>637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9" spans="2:19">
      <c r="B89">
        <v>8</v>
      </c>
      <c r="C89" t="s">
        <v>13</v>
      </c>
      <c r="D89" t="s">
        <v>12</v>
      </c>
      <c r="E89" t="s">
        <v>36</v>
      </c>
      <c r="F89" t="s">
        <v>37</v>
      </c>
      <c r="G89" t="s">
        <v>38</v>
      </c>
      <c r="H89" t="s">
        <v>39</v>
      </c>
      <c r="I89" t="s">
        <v>2</v>
      </c>
      <c r="J89" t="s">
        <v>8</v>
      </c>
      <c r="K89" t="s">
        <v>18</v>
      </c>
      <c r="L89" t="s">
        <v>4</v>
      </c>
      <c r="M89" t="s">
        <v>19</v>
      </c>
      <c r="N89" t="s">
        <v>20</v>
      </c>
      <c r="O89" t="s">
        <v>21</v>
      </c>
      <c r="P89" t="s">
        <v>27</v>
      </c>
      <c r="Q89" t="s">
        <v>28</v>
      </c>
      <c r="R89" t="s">
        <v>29</v>
      </c>
      <c r="S89" t="s">
        <v>40</v>
      </c>
    </row>
    <row r="90" spans="4:15">
      <c r="D90" t="s">
        <v>43</v>
      </c>
      <c r="E90" s="6">
        <v>40392</v>
      </c>
      <c r="F90" s="7">
        <v>1.1</v>
      </c>
      <c r="G90" s="7">
        <v>-1</v>
      </c>
      <c r="H90" s="7">
        <f>F90*G90*100</f>
        <v>-110</v>
      </c>
      <c r="I90" s="7">
        <f>F91</f>
        <v>112.76</v>
      </c>
      <c r="J90" s="7">
        <v>117</v>
      </c>
      <c r="K90" s="7">
        <v>18.51</v>
      </c>
      <c r="L90" s="6">
        <v>40438</v>
      </c>
      <c r="M90" s="7">
        <v>46</v>
      </c>
      <c r="N90" s="7" t="s">
        <v>32</v>
      </c>
      <c r="O90" s="7" t="s">
        <v>33</v>
      </c>
    </row>
    <row r="91" spans="4:11">
      <c r="D91" t="s">
        <v>34</v>
      </c>
      <c r="E91" s="6">
        <v>40392</v>
      </c>
      <c r="F91" s="7">
        <v>112.76</v>
      </c>
      <c r="G91" s="7">
        <v>100</v>
      </c>
      <c r="H91" s="7">
        <f>F91*G91</f>
        <v>11276</v>
      </c>
      <c r="I91" s="7"/>
      <c r="J91" s="7"/>
      <c r="K91" s="7"/>
    </row>
    <row r="92" spans="4:19">
      <c r="D92" t="s">
        <v>52</v>
      </c>
      <c r="E92" s="6">
        <v>40392</v>
      </c>
      <c r="F92" s="7"/>
      <c r="G92" s="7"/>
      <c r="H92" s="7">
        <f>H91+H90</f>
        <v>11166</v>
      </c>
      <c r="I92" s="7"/>
      <c r="J92" s="7"/>
      <c r="K92" s="7"/>
      <c r="P92" s="7">
        <f>J90-I90+F90</f>
        <v>5.33999999999999</v>
      </c>
      <c r="Q92" s="7">
        <v>0</v>
      </c>
      <c r="R92" s="7">
        <f>I90-F90</f>
        <v>111.66</v>
      </c>
      <c r="S92" s="7">
        <f>J90+F90</f>
        <v>118.1</v>
      </c>
    </row>
    <row r="94" spans="3:23">
      <c r="C94" t="s">
        <v>42</v>
      </c>
      <c r="D94" t="s">
        <v>36</v>
      </c>
      <c r="E94" t="s">
        <v>34</v>
      </c>
      <c r="F94" t="s">
        <v>44</v>
      </c>
      <c r="G94" t="s">
        <v>45</v>
      </c>
      <c r="H94" t="s">
        <v>17</v>
      </c>
      <c r="I94" t="s">
        <v>35</v>
      </c>
      <c r="J94" t="s">
        <v>18</v>
      </c>
      <c r="K94" t="s">
        <v>4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</v>
      </c>
      <c r="R94" t="s">
        <v>46</v>
      </c>
      <c r="S94" t="s">
        <v>47</v>
      </c>
      <c r="T94" t="s">
        <v>48</v>
      </c>
      <c r="U94" t="s">
        <v>49</v>
      </c>
      <c r="V94" t="s">
        <v>50</v>
      </c>
      <c r="W94" t="s">
        <v>51</v>
      </c>
    </row>
    <row r="95" spans="4:23">
      <c r="D95" s="6">
        <f>E90</f>
        <v>40392</v>
      </c>
      <c r="E95" s="7">
        <f>H91</f>
        <v>11276</v>
      </c>
      <c r="F95" s="7">
        <f>H90</f>
        <v>-110</v>
      </c>
      <c r="G95" s="7">
        <v>0</v>
      </c>
      <c r="H95" s="7">
        <f>E95+F95+G95</f>
        <v>11166</v>
      </c>
      <c r="I95" s="7"/>
      <c r="J95" s="7">
        <f>K90</f>
        <v>18.51</v>
      </c>
      <c r="K95" s="7">
        <f>M90</f>
        <v>46</v>
      </c>
      <c r="L95" s="7">
        <v>73.3</v>
      </c>
      <c r="M95" s="7">
        <v>-4.73</v>
      </c>
      <c r="N95" s="7">
        <v>2.26</v>
      </c>
      <c r="O95" s="7">
        <v>-13.2</v>
      </c>
      <c r="P95" s="7">
        <f>100-75.29</f>
        <v>24.71</v>
      </c>
      <c r="Q95" s="7">
        <f>I90</f>
        <v>112.76</v>
      </c>
      <c r="R95" s="7"/>
      <c r="S95" s="7"/>
      <c r="T95" s="7"/>
      <c r="U95" s="7"/>
      <c r="V95" s="7"/>
      <c r="W95" s="7"/>
    </row>
    <row r="96" spans="4:23">
      <c r="D96" s="6">
        <v>40393</v>
      </c>
      <c r="E96" s="7">
        <v>11222</v>
      </c>
      <c r="F96" s="7">
        <v>-101</v>
      </c>
      <c r="G96" s="7">
        <v>0</v>
      </c>
      <c r="H96" s="7">
        <f t="shared" ref="H96:H99" si="6">E96+F96+G96</f>
        <v>11121</v>
      </c>
      <c r="I96" s="7">
        <f>H96-H$95</f>
        <v>-45</v>
      </c>
      <c r="J96" s="7">
        <v>17.75</v>
      </c>
      <c r="K96" s="7">
        <v>45</v>
      </c>
      <c r="L96" s="7">
        <v>75.08</v>
      </c>
      <c r="M96" s="7">
        <v>-4.53</v>
      </c>
      <c r="N96" s="7">
        <v>2.31</v>
      </c>
      <c r="O96" s="7">
        <v>-12.55</v>
      </c>
      <c r="P96" s="7">
        <f>100-77</f>
        <v>23</v>
      </c>
      <c r="Q96" s="7">
        <v>112.22</v>
      </c>
      <c r="R96" s="7">
        <f>(Q96-Q95)*L95</f>
        <v>-39.5820000000005</v>
      </c>
      <c r="S96" s="7">
        <f>0.5*M95*POWER(Q96-Q95,2)</f>
        <v>-0.689634000000016</v>
      </c>
      <c r="T96" s="7">
        <f>N95</f>
        <v>2.26</v>
      </c>
      <c r="U96" s="7">
        <f>O95*(J96-J95)</f>
        <v>10.032</v>
      </c>
      <c r="V96" s="7">
        <f>R96+S96+T96+U96</f>
        <v>-27.9796340000005</v>
      </c>
      <c r="W96" s="7">
        <f>SUM($V$96:V96)</f>
        <v>-27.9796340000005</v>
      </c>
    </row>
    <row r="97" spans="4:23">
      <c r="D97" s="6">
        <v>40394</v>
      </c>
      <c r="E97" s="7">
        <v>11297</v>
      </c>
      <c r="F97" s="7">
        <v>-117</v>
      </c>
      <c r="G97" s="7">
        <v>0</v>
      </c>
      <c r="H97" s="7">
        <f t="shared" si="6"/>
        <v>11180</v>
      </c>
      <c r="I97" s="7">
        <f t="shared" ref="I97:I99" si="7">H97-H$95</f>
        <v>14</v>
      </c>
      <c r="J97" s="7">
        <v>17.8</v>
      </c>
      <c r="K97" s="7">
        <v>44</v>
      </c>
      <c r="L97" s="7">
        <v>72.11</v>
      </c>
      <c r="M97" s="7">
        <v>-4.81</v>
      </c>
      <c r="N97" s="7">
        <v>2.44</v>
      </c>
      <c r="O97" s="7">
        <v>-13.22</v>
      </c>
      <c r="P97" s="7">
        <f>100-77.64</f>
        <v>22.36</v>
      </c>
      <c r="Q97" s="7">
        <v>112.97</v>
      </c>
      <c r="R97" s="7">
        <f>L96*(Q97-Q96)</f>
        <v>56.31</v>
      </c>
      <c r="S97" s="7">
        <f>0.5*M96*POWER(Q97-Q96,2)</f>
        <v>-1.2740625</v>
      </c>
      <c r="T97" s="7">
        <f>N96</f>
        <v>2.31</v>
      </c>
      <c r="U97" s="7">
        <f>O96*(J97-J96)</f>
        <v>-0.627500000000009</v>
      </c>
      <c r="V97" s="7">
        <f>R97+S97+T97+U97</f>
        <v>56.7184375</v>
      </c>
      <c r="W97" s="7">
        <f>SUM($V$96:V97)</f>
        <v>28.7388034999995</v>
      </c>
    </row>
    <row r="98" spans="4:23">
      <c r="D98" s="6">
        <v>40395</v>
      </c>
      <c r="E98" s="7">
        <v>11285</v>
      </c>
      <c r="F98" s="7">
        <v>-109</v>
      </c>
      <c r="G98" s="7">
        <v>0</v>
      </c>
      <c r="H98" s="7">
        <f t="shared" si="6"/>
        <v>11176</v>
      </c>
      <c r="I98" s="7">
        <f t="shared" si="7"/>
        <v>10</v>
      </c>
      <c r="J98" s="7">
        <v>17.6</v>
      </c>
      <c r="K98" s="7">
        <v>43</v>
      </c>
      <c r="L98" s="7">
        <v>73.09</v>
      </c>
      <c r="M98" s="7">
        <v>-4.84</v>
      </c>
      <c r="N98" s="7">
        <v>2.4</v>
      </c>
      <c r="O98" s="7">
        <v>-12.83</v>
      </c>
      <c r="P98" s="7">
        <f>100-75.05</f>
        <v>24.95</v>
      </c>
      <c r="Q98" s="7">
        <v>112.85</v>
      </c>
      <c r="R98" s="7">
        <f>L97*(Q98-Q97)</f>
        <v>-8.65320000000033</v>
      </c>
      <c r="S98" s="7">
        <f>0.5*M97*POWER(Q98-Q97,2)</f>
        <v>-0.0346320000000026</v>
      </c>
      <c r="T98" s="7">
        <f>N97</f>
        <v>2.44</v>
      </c>
      <c r="U98" s="7">
        <f>O97*(J98-J97)</f>
        <v>2.64399999999999</v>
      </c>
      <c r="V98" s="7">
        <f>R98+S98+T98+U98</f>
        <v>-3.60383200000034</v>
      </c>
      <c r="W98" s="7">
        <f>SUM($V$96:V98)</f>
        <v>25.1349714999992</v>
      </c>
    </row>
    <row r="99" spans="4:23">
      <c r="D99" s="6">
        <v>40411</v>
      </c>
      <c r="E99" s="7">
        <v>11249</v>
      </c>
      <c r="F99" s="7">
        <v>0</v>
      </c>
      <c r="G99" s="7">
        <v>0</v>
      </c>
      <c r="H99" s="7">
        <f t="shared" si="6"/>
        <v>11249</v>
      </c>
      <c r="I99" s="7">
        <f t="shared" si="7"/>
        <v>83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6" spans="4:12">
      <c r="D106" t="s">
        <v>53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t="s">
        <v>59</v>
      </c>
      <c r="K106" t="s">
        <v>60</v>
      </c>
      <c r="L106" t="s">
        <v>57</v>
      </c>
    </row>
    <row r="107" spans="3:12">
      <c r="C107">
        <v>1</v>
      </c>
      <c r="D107" s="7">
        <v>113.33</v>
      </c>
      <c r="E107" s="7">
        <v>112.155</v>
      </c>
      <c r="F107" s="7">
        <v>118.175</v>
      </c>
      <c r="G107" s="7">
        <v>111.14</v>
      </c>
      <c r="H107" s="7" t="s">
        <v>61</v>
      </c>
      <c r="I107" s="7">
        <v>-1.015</v>
      </c>
      <c r="J107" s="7">
        <f>G107-D107</f>
        <v>-2.19</v>
      </c>
      <c r="K107" s="8">
        <f>I107-J107</f>
        <v>1.175</v>
      </c>
      <c r="L107" t="str">
        <f>IF(K107&gt;0,"win","loss")</f>
        <v>win</v>
      </c>
    </row>
    <row r="108" spans="3:12">
      <c r="C108">
        <v>2</v>
      </c>
      <c r="D108" s="7">
        <v>109.06</v>
      </c>
      <c r="E108" s="7">
        <v>107.81</v>
      </c>
      <c r="F108" s="7">
        <v>114.25</v>
      </c>
      <c r="G108" s="7">
        <v>115.97</v>
      </c>
      <c r="H108" s="7" t="s">
        <v>61</v>
      </c>
      <c r="I108" s="7">
        <v>5.19</v>
      </c>
      <c r="J108" s="7">
        <f>G108-D108</f>
        <v>6.91</v>
      </c>
      <c r="K108" s="8">
        <f t="shared" ref="K108:K114" si="8">I108-J108</f>
        <v>-1.72</v>
      </c>
      <c r="L108" t="str">
        <f t="shared" ref="L108:L114" si="9">IF(K108&gt;0,"win","loss")</f>
        <v>loss</v>
      </c>
    </row>
    <row r="109" spans="3:12">
      <c r="C109">
        <v>3</v>
      </c>
      <c r="D109" s="7">
        <v>111.89</v>
      </c>
      <c r="E109" s="7">
        <v>110.935</v>
      </c>
      <c r="F109" s="7">
        <v>114.955</v>
      </c>
      <c r="G109" s="7">
        <v>117.8</v>
      </c>
      <c r="H109" s="7" t="s">
        <v>61</v>
      </c>
      <c r="I109" s="7">
        <v>3.865</v>
      </c>
      <c r="J109" s="7">
        <f t="shared" ref="J109:J114" si="10">G109-D109</f>
        <v>5.91</v>
      </c>
      <c r="K109" s="8">
        <f t="shared" si="8"/>
        <v>-2.045</v>
      </c>
      <c r="L109" t="str">
        <f t="shared" si="9"/>
        <v>loss</v>
      </c>
    </row>
    <row r="110" spans="3:12">
      <c r="C110">
        <v>4</v>
      </c>
      <c r="D110" s="7">
        <v>117.8</v>
      </c>
      <c r="E110" s="7">
        <v>116.86</v>
      </c>
      <c r="F110" s="7">
        <v>122.94</v>
      </c>
      <c r="G110" s="7">
        <v>109.115</v>
      </c>
      <c r="H110" s="7" t="s">
        <v>61</v>
      </c>
      <c r="I110" s="7">
        <v>-7.745</v>
      </c>
      <c r="J110" s="7">
        <f t="shared" si="10"/>
        <v>-8.685</v>
      </c>
      <c r="K110" s="8">
        <f t="shared" si="8"/>
        <v>0.940000000000002</v>
      </c>
      <c r="L110" t="str">
        <f t="shared" si="9"/>
        <v>win</v>
      </c>
    </row>
    <row r="111" spans="3:12">
      <c r="C111">
        <v>5</v>
      </c>
      <c r="D111" s="7">
        <v>120.35</v>
      </c>
      <c r="E111" s="7">
        <v>119.17</v>
      </c>
      <c r="F111" s="7">
        <v>125.18</v>
      </c>
      <c r="G111" s="7">
        <v>111.729</v>
      </c>
      <c r="H111" s="7" t="s">
        <v>61</v>
      </c>
      <c r="I111" s="7">
        <v>-7.441</v>
      </c>
      <c r="J111" s="7">
        <f t="shared" si="10"/>
        <v>-8.621</v>
      </c>
      <c r="K111" s="8">
        <f t="shared" si="8"/>
        <v>1.18</v>
      </c>
      <c r="L111" t="str">
        <f t="shared" si="9"/>
        <v>win</v>
      </c>
    </row>
    <row r="112" spans="3:12">
      <c r="C112">
        <v>6</v>
      </c>
      <c r="D112" s="7">
        <v>107.53</v>
      </c>
      <c r="E112" s="7">
        <v>106.17</v>
      </c>
      <c r="F112" s="7">
        <v>113.36</v>
      </c>
      <c r="G112" s="7">
        <v>102.76</v>
      </c>
      <c r="H112" s="7" t="s">
        <v>61</v>
      </c>
      <c r="I112" s="7">
        <v>-3.41</v>
      </c>
      <c r="J112" s="7">
        <f t="shared" si="10"/>
        <v>-4.77</v>
      </c>
      <c r="K112" s="8">
        <f t="shared" si="8"/>
        <v>1.36</v>
      </c>
      <c r="L112" t="str">
        <f t="shared" si="9"/>
        <v>win</v>
      </c>
    </row>
    <row r="113" spans="3:12">
      <c r="C113">
        <v>7</v>
      </c>
      <c r="D113" s="7">
        <v>102.76</v>
      </c>
      <c r="E113" s="7">
        <v>101.16</v>
      </c>
      <c r="F113" s="7">
        <v>110.6</v>
      </c>
      <c r="G113" s="7">
        <v>107.53</v>
      </c>
      <c r="H113" s="7" t="s">
        <v>62</v>
      </c>
      <c r="I113" s="7">
        <v>6.37</v>
      </c>
      <c r="J113" s="7">
        <f t="shared" si="10"/>
        <v>4.77</v>
      </c>
      <c r="K113" s="8">
        <f t="shared" si="8"/>
        <v>1.6</v>
      </c>
      <c r="L113" t="str">
        <f t="shared" si="9"/>
        <v>win</v>
      </c>
    </row>
    <row r="114" spans="3:12">
      <c r="C114">
        <v>8</v>
      </c>
      <c r="D114" s="7">
        <v>112.76</v>
      </c>
      <c r="E114" s="7">
        <v>111.66</v>
      </c>
      <c r="F114" s="7">
        <v>118.1</v>
      </c>
      <c r="G114" s="7">
        <v>112.49</v>
      </c>
      <c r="H114" s="7" t="s">
        <v>62</v>
      </c>
      <c r="I114" s="7">
        <v>0.83</v>
      </c>
      <c r="J114" s="7">
        <f t="shared" si="10"/>
        <v>-0.27000000000001</v>
      </c>
      <c r="K114" s="8">
        <f t="shared" si="8"/>
        <v>1.10000000000001</v>
      </c>
      <c r="L114" t="str">
        <f t="shared" si="9"/>
        <v>win</v>
      </c>
    </row>
    <row r="118" spans="9:11">
      <c r="I118" t="s">
        <v>63</v>
      </c>
      <c r="J118" t="s">
        <v>58</v>
      </c>
      <c r="K118" t="s">
        <v>64</v>
      </c>
    </row>
    <row r="119" spans="7:11">
      <c r="G119" t="s">
        <v>65</v>
      </c>
      <c r="H119" t="s">
        <v>62</v>
      </c>
      <c r="I119" s="41">
        <f>2/8</f>
        <v>0.25</v>
      </c>
      <c r="J119" s="8">
        <f>AVERAGE(I113:I114)</f>
        <v>3.6</v>
      </c>
      <c r="K119" s="8">
        <f>I119*J119</f>
        <v>0.9</v>
      </c>
    </row>
    <row r="120" spans="8:12">
      <c r="H120" t="s">
        <v>61</v>
      </c>
      <c r="I120" s="41">
        <f>6/8</f>
        <v>0.75</v>
      </c>
      <c r="J120" s="8">
        <f>AVERAGE(I107:I112)</f>
        <v>-1.75933333333333</v>
      </c>
      <c r="K120" s="8">
        <f>I120*J120</f>
        <v>-1.3195</v>
      </c>
      <c r="L120" s="8">
        <f>K120+K119</f>
        <v>-0.4195</v>
      </c>
    </row>
    <row r="121" spans="7:11">
      <c r="G121" t="s">
        <v>66</v>
      </c>
      <c r="H121" t="s">
        <v>62</v>
      </c>
      <c r="I121" s="41">
        <f>6/8</f>
        <v>0.75</v>
      </c>
      <c r="J121" s="8">
        <f>AVERAGE(K107,K110:K114)</f>
        <v>1.22583333333333</v>
      </c>
      <c r="K121" s="8">
        <f>I121*J121</f>
        <v>0.919375000000001</v>
      </c>
    </row>
    <row r="122" spans="8:12">
      <c r="H122" t="s">
        <v>61</v>
      </c>
      <c r="I122" s="41">
        <f>2/8</f>
        <v>0.25</v>
      </c>
      <c r="J122" s="8">
        <f>AVERAGE(K108:K109)</f>
        <v>-1.8825</v>
      </c>
      <c r="K122" s="8">
        <f>I122*J122</f>
        <v>-0.470624999999999</v>
      </c>
      <c r="L122" s="8">
        <f>K122+K121</f>
        <v>0.448750000000002</v>
      </c>
    </row>
    <row r="124" spans="4:6">
      <c r="D124" t="s">
        <v>67</v>
      </c>
      <c r="E124" t="s">
        <v>58</v>
      </c>
      <c r="F124" t="s">
        <v>68</v>
      </c>
    </row>
    <row r="125" spans="3:6">
      <c r="C125">
        <v>1</v>
      </c>
      <c r="D125">
        <f>H14</f>
        <v>11215.5</v>
      </c>
      <c r="E125" s="8">
        <f>I107*100</f>
        <v>-101.5</v>
      </c>
      <c r="F125" s="9">
        <f>E125/D125</f>
        <v>-0.009049975480362</v>
      </c>
    </row>
    <row r="126" spans="3:6">
      <c r="C126">
        <v>2</v>
      </c>
      <c r="D126">
        <f>I26*0.1</f>
        <v>10781</v>
      </c>
      <c r="E126" s="8">
        <f t="shared" ref="E126:E132" si="11">I108*100</f>
        <v>519</v>
      </c>
      <c r="F126" s="9">
        <f t="shared" ref="F126:F132" si="12">E126/D126</f>
        <v>0.048140246730359</v>
      </c>
    </row>
    <row r="127" spans="3:6">
      <c r="C127">
        <v>3</v>
      </c>
      <c r="D127" s="8">
        <f>H34</f>
        <v>11093.5</v>
      </c>
      <c r="E127" s="8">
        <f t="shared" si="11"/>
        <v>386.5</v>
      </c>
      <c r="F127" s="9">
        <f t="shared" si="12"/>
        <v>0.0348402217514761</v>
      </c>
    </row>
    <row r="128" spans="3:6">
      <c r="C128">
        <v>4</v>
      </c>
      <c r="D128" s="8">
        <f>H45</f>
        <v>11686</v>
      </c>
      <c r="E128" s="8">
        <f t="shared" si="11"/>
        <v>-774.5</v>
      </c>
      <c r="F128" s="9">
        <f t="shared" si="12"/>
        <v>-0.0662758856751669</v>
      </c>
    </row>
    <row r="129" spans="3:6">
      <c r="C129">
        <v>5</v>
      </c>
      <c r="D129" s="8">
        <f>H56</f>
        <v>11917</v>
      </c>
      <c r="E129" s="8">
        <f t="shared" si="11"/>
        <v>-744.1</v>
      </c>
      <c r="F129" s="9">
        <f t="shared" si="12"/>
        <v>-0.0624402114626164</v>
      </c>
    </row>
    <row r="130" spans="3:6">
      <c r="C130">
        <v>6</v>
      </c>
      <c r="D130" s="8">
        <f>H66</f>
        <v>10617</v>
      </c>
      <c r="E130" s="8">
        <f t="shared" si="11"/>
        <v>-341</v>
      </c>
      <c r="F130" s="9">
        <f t="shared" si="12"/>
        <v>-0.0321183008382782</v>
      </c>
    </row>
    <row r="131" spans="3:6">
      <c r="C131">
        <v>7</v>
      </c>
      <c r="D131" s="8">
        <f>H79</f>
        <v>10116</v>
      </c>
      <c r="E131" s="8">
        <f t="shared" si="11"/>
        <v>637</v>
      </c>
      <c r="F131" s="9">
        <f t="shared" si="12"/>
        <v>0.0629695531830763</v>
      </c>
    </row>
    <row r="132" spans="3:6">
      <c r="C132">
        <v>8</v>
      </c>
      <c r="D132" s="8">
        <f>H92</f>
        <v>11166</v>
      </c>
      <c r="E132" s="8">
        <f t="shared" si="11"/>
        <v>83</v>
      </c>
      <c r="F132" s="9">
        <f t="shared" si="12"/>
        <v>0.00743327959878202</v>
      </c>
    </row>
    <row r="138" spans="1:17">
      <c r="A138" t="s">
        <v>13</v>
      </c>
      <c r="B138" t="s">
        <v>12</v>
      </c>
      <c r="C138" t="s">
        <v>36</v>
      </c>
      <c r="D138" t="s">
        <v>37</v>
      </c>
      <c r="E138" t="s">
        <v>38</v>
      </c>
      <c r="F138" t="s">
        <v>39</v>
      </c>
      <c r="G138" t="s">
        <v>2</v>
      </c>
      <c r="H138" t="s">
        <v>8</v>
      </c>
      <c r="I138" t="s">
        <v>18</v>
      </c>
      <c r="J138" t="s">
        <v>4</v>
      </c>
      <c r="K138" t="s">
        <v>19</v>
      </c>
      <c r="L138" t="s">
        <v>20</v>
      </c>
      <c r="M138" t="s">
        <v>21</v>
      </c>
      <c r="N138" t="s">
        <v>27</v>
      </c>
      <c r="O138" t="s">
        <v>28</v>
      </c>
      <c r="P138" t="s">
        <v>29</v>
      </c>
      <c r="Q138" t="s">
        <v>40</v>
      </c>
    </row>
    <row r="139" spans="2:13">
      <c r="B139" t="s">
        <v>43</v>
      </c>
      <c r="C139" s="6">
        <v>40360</v>
      </c>
      <c r="D139" s="7">
        <v>1.6</v>
      </c>
      <c r="E139" s="7">
        <v>-1</v>
      </c>
      <c r="F139" s="7">
        <f>D139*E139*100</f>
        <v>-160</v>
      </c>
      <c r="G139" s="7">
        <f>D140</f>
        <v>102.76</v>
      </c>
      <c r="H139" s="7">
        <v>109</v>
      </c>
      <c r="I139" s="7">
        <v>25.44</v>
      </c>
      <c r="J139" s="6">
        <v>40410</v>
      </c>
      <c r="K139" s="7">
        <v>50</v>
      </c>
      <c r="L139" s="7" t="s">
        <v>32</v>
      </c>
      <c r="M139" s="7" t="s">
        <v>33</v>
      </c>
    </row>
    <row r="140" spans="2:9">
      <c r="B140" t="s">
        <v>34</v>
      </c>
      <c r="C140" s="6">
        <v>40360</v>
      </c>
      <c r="D140" s="7">
        <v>102.76</v>
      </c>
      <c r="E140" s="7">
        <v>100</v>
      </c>
      <c r="F140" s="7">
        <f>D140*E140</f>
        <v>10276</v>
      </c>
      <c r="G140" s="7"/>
      <c r="H140" s="7"/>
      <c r="I140" s="7"/>
    </row>
    <row r="141" spans="2:17">
      <c r="B141" t="s">
        <v>52</v>
      </c>
      <c r="C141" s="6">
        <v>40360</v>
      </c>
      <c r="D141" s="7"/>
      <c r="E141" s="7"/>
      <c r="F141" s="7">
        <f>F140+F139</f>
        <v>10116</v>
      </c>
      <c r="G141" s="7"/>
      <c r="H141" s="7"/>
      <c r="I141" s="7"/>
      <c r="N141" s="7">
        <f>H139-G139+D139</f>
        <v>7.83999999999999</v>
      </c>
      <c r="O141" s="7">
        <v>0</v>
      </c>
      <c r="P141" s="7">
        <f>G139-D139</f>
        <v>101.16</v>
      </c>
      <c r="Q141" s="7">
        <f>H139+D139</f>
        <v>110.6</v>
      </c>
    </row>
    <row r="142" spans="10:19">
      <c r="J142" t="s">
        <v>69</v>
      </c>
      <c r="S142" t="s">
        <v>70</v>
      </c>
    </row>
    <row r="143" spans="1:21">
      <c r="A143" t="s">
        <v>42</v>
      </c>
      <c r="B143" t="s">
        <v>36</v>
      </c>
      <c r="C143" t="s">
        <v>34</v>
      </c>
      <c r="D143" t="s">
        <v>44</v>
      </c>
      <c r="E143" t="s">
        <v>45</v>
      </c>
      <c r="F143" s="11" t="s">
        <v>17</v>
      </c>
      <c r="G143" s="11" t="s">
        <v>35</v>
      </c>
      <c r="H143" s="43" t="s">
        <v>18</v>
      </c>
      <c r="I143" s="11" t="s">
        <v>71</v>
      </c>
      <c r="J143" s="11" t="s">
        <v>22</v>
      </c>
      <c r="K143" s="11" t="s">
        <v>23</v>
      </c>
      <c r="L143" s="11" t="s">
        <v>24</v>
      </c>
      <c r="M143" s="11" t="s">
        <v>25</v>
      </c>
      <c r="N143" t="s">
        <v>26</v>
      </c>
      <c r="O143" s="43" t="s">
        <v>2</v>
      </c>
      <c r="P143" t="s">
        <v>46</v>
      </c>
      <c r="Q143" t="s">
        <v>47</v>
      </c>
      <c r="R143" t="s">
        <v>48</v>
      </c>
      <c r="S143" t="s">
        <v>49</v>
      </c>
      <c r="T143" t="s">
        <v>50</v>
      </c>
      <c r="U143" t="s">
        <v>51</v>
      </c>
    </row>
    <row r="144" spans="2:21">
      <c r="B144" s="6">
        <f>C139</f>
        <v>40360</v>
      </c>
      <c r="C144" s="7">
        <f>F140</f>
        <v>10276</v>
      </c>
      <c r="D144" s="7">
        <f>F139</f>
        <v>-160</v>
      </c>
      <c r="E144" s="7">
        <v>0</v>
      </c>
      <c r="F144" s="17">
        <f t="shared" ref="F144:F148" si="13">C144+D144+E144</f>
        <v>10116</v>
      </c>
      <c r="G144" s="17"/>
      <c r="H144" s="44">
        <f>I139</f>
        <v>25.44</v>
      </c>
      <c r="I144" s="17">
        <f>K139</f>
        <v>50</v>
      </c>
      <c r="J144" s="17">
        <v>72.06</v>
      </c>
      <c r="K144" s="17">
        <v>-3.47</v>
      </c>
      <c r="L144" s="17">
        <v>3.21</v>
      </c>
      <c r="M144" s="17">
        <v>-12.84</v>
      </c>
      <c r="N144" s="7">
        <f>100-75.13</f>
        <v>24.87</v>
      </c>
      <c r="O144" s="44">
        <f>G139</f>
        <v>102.76</v>
      </c>
      <c r="P144" s="7"/>
      <c r="Q144" s="7"/>
      <c r="R144" s="7"/>
      <c r="S144" s="7"/>
      <c r="T144" s="7"/>
      <c r="U144" s="7"/>
    </row>
    <row r="145" spans="2:21">
      <c r="B145" s="6">
        <v>40361</v>
      </c>
      <c r="C145" s="7">
        <v>10220</v>
      </c>
      <c r="D145" s="7">
        <v>-112</v>
      </c>
      <c r="E145" s="7">
        <v>0</v>
      </c>
      <c r="F145" s="17">
        <f t="shared" si="13"/>
        <v>10108</v>
      </c>
      <c r="G145" s="17">
        <f t="shared" ref="G145:G148" si="14">F145-F$82</f>
        <v>10268</v>
      </c>
      <c r="H145" s="44">
        <v>23.3</v>
      </c>
      <c r="I145" s="17">
        <v>49</v>
      </c>
      <c r="J145" s="17">
        <v>77.05</v>
      </c>
      <c r="K145" s="17">
        <v>-3.47</v>
      </c>
      <c r="L145" s="17">
        <v>2.57</v>
      </c>
      <c r="M145" s="17">
        <v>-11.4</v>
      </c>
      <c r="N145" s="7">
        <f>110-79.53</f>
        <v>30.47</v>
      </c>
      <c r="O145" s="44">
        <v>102.2</v>
      </c>
      <c r="P145" s="7">
        <f>(O145-O144)*J144</f>
        <v>-40.3536000000002</v>
      </c>
      <c r="Q145" s="7">
        <f t="shared" ref="Q145:Q147" si="15">0.5*K144*POWER(O145-O144,2)</f>
        <v>-0.544096000000004</v>
      </c>
      <c r="R145" s="7">
        <f>L144</f>
        <v>3.21</v>
      </c>
      <c r="S145" s="7">
        <f t="shared" ref="S145:S147" si="16">M144*(H145-H144)</f>
        <v>27.4776</v>
      </c>
      <c r="T145" s="7">
        <f t="shared" ref="T145:T147" si="17">P145+Q145+R145+S145</f>
        <v>-10.2100960000002</v>
      </c>
      <c r="U145" s="7">
        <f ca="1">SUM(T$83:$V145)</f>
        <v>-10.2100960000002</v>
      </c>
    </row>
    <row r="146" spans="2:21">
      <c r="B146" s="6">
        <v>40365</v>
      </c>
      <c r="C146" s="7">
        <v>10287</v>
      </c>
      <c r="D146" s="7">
        <v>-117.5</v>
      </c>
      <c r="E146" s="7">
        <v>0</v>
      </c>
      <c r="F146" s="17">
        <f t="shared" si="13"/>
        <v>10169.5</v>
      </c>
      <c r="G146" s="17">
        <f t="shared" si="14"/>
        <v>10329.5</v>
      </c>
      <c r="H146" s="44">
        <v>22.81</v>
      </c>
      <c r="I146" s="17">
        <v>45</v>
      </c>
      <c r="J146" s="17">
        <v>75.17</v>
      </c>
      <c r="K146" s="17">
        <v>-3.83</v>
      </c>
      <c r="L146" s="17">
        <v>2.89</v>
      </c>
      <c r="M146" s="17">
        <v>-11.48</v>
      </c>
      <c r="N146" s="7">
        <f>100-77.64</f>
        <v>22.36</v>
      </c>
      <c r="O146" s="44">
        <v>102.87</v>
      </c>
      <c r="P146" s="7">
        <f>J145*(O146-O145)</f>
        <v>51.6235000000001</v>
      </c>
      <c r="Q146" s="7">
        <f t="shared" si="15"/>
        <v>-0.778841500000004</v>
      </c>
      <c r="R146" s="7">
        <f>L145*4</f>
        <v>10.28</v>
      </c>
      <c r="S146" s="7">
        <f t="shared" si="16"/>
        <v>5.58600000000002</v>
      </c>
      <c r="T146" s="7">
        <f t="shared" si="17"/>
        <v>66.7106585000002</v>
      </c>
      <c r="U146" s="7">
        <f ca="1">SUM(T$83:$V146)</f>
        <v>56.5005625</v>
      </c>
    </row>
    <row r="147" spans="2:21">
      <c r="B147" s="6">
        <v>40366</v>
      </c>
      <c r="C147" s="7">
        <v>10610.75</v>
      </c>
      <c r="D147" s="7">
        <v>-221.5</v>
      </c>
      <c r="E147" s="7">
        <v>0</v>
      </c>
      <c r="F147" s="17">
        <f t="shared" si="13"/>
        <v>10389.25</v>
      </c>
      <c r="G147" s="17">
        <f t="shared" si="14"/>
        <v>10549.25</v>
      </c>
      <c r="H147" s="44">
        <v>23.22</v>
      </c>
      <c r="I147" s="17">
        <v>44</v>
      </c>
      <c r="J147" s="17">
        <v>61.48</v>
      </c>
      <c r="K147" s="17">
        <v>-4.45</v>
      </c>
      <c r="L147" s="17">
        <v>3.72</v>
      </c>
      <c r="M147" s="17">
        <v>-14.14</v>
      </c>
      <c r="N147" s="7">
        <f>100-64.54</f>
        <v>35.46</v>
      </c>
      <c r="O147" s="44">
        <v>106.1</v>
      </c>
      <c r="P147" s="7">
        <f>J146*(O147-O146)</f>
        <v>242.799099999999</v>
      </c>
      <c r="Q147" s="7">
        <f t="shared" si="15"/>
        <v>-19.9790034999999</v>
      </c>
      <c r="R147" s="7">
        <f>L146</f>
        <v>2.89</v>
      </c>
      <c r="S147" s="7">
        <f t="shared" si="16"/>
        <v>-4.7068</v>
      </c>
      <c r="T147" s="7">
        <f t="shared" si="17"/>
        <v>221.003296499999</v>
      </c>
      <c r="U147" s="7">
        <f ca="1">SUM(T$83:$V147)</f>
        <v>277.503858999999</v>
      </c>
    </row>
    <row r="148" spans="2:21">
      <c r="B148" s="6">
        <v>40411</v>
      </c>
      <c r="C148" s="7">
        <v>10753</v>
      </c>
      <c r="D148" s="7">
        <v>0</v>
      </c>
      <c r="E148" s="7">
        <v>0</v>
      </c>
      <c r="F148" s="17">
        <f t="shared" si="13"/>
        <v>10753</v>
      </c>
      <c r="G148" s="17">
        <f t="shared" si="14"/>
        <v>10913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56" spans="1:17">
      <c r="A156" t="s">
        <v>13</v>
      </c>
      <c r="B156" t="s">
        <v>12</v>
      </c>
      <c r="C156" t="s">
        <v>36</v>
      </c>
      <c r="D156" t="s">
        <v>37</v>
      </c>
      <c r="E156" t="s">
        <v>38</v>
      </c>
      <c r="F156" t="s">
        <v>39</v>
      </c>
      <c r="G156" t="s">
        <v>2</v>
      </c>
      <c r="H156" t="s">
        <v>8</v>
      </c>
      <c r="I156" t="s">
        <v>18</v>
      </c>
      <c r="J156" t="s">
        <v>4</v>
      </c>
      <c r="K156" t="s">
        <v>19</v>
      </c>
      <c r="L156" t="s">
        <v>20</v>
      </c>
      <c r="M156" t="s">
        <v>21</v>
      </c>
      <c r="N156" t="s">
        <v>27</v>
      </c>
      <c r="O156" t="s">
        <v>28</v>
      </c>
      <c r="P156" t="s">
        <v>29</v>
      </c>
      <c r="Q156" t="s">
        <v>40</v>
      </c>
    </row>
    <row r="157" spans="2:13">
      <c r="B157" t="s">
        <v>43</v>
      </c>
      <c r="C157" s="6">
        <v>40422</v>
      </c>
      <c r="D157" s="7">
        <v>1.095</v>
      </c>
      <c r="E157" s="7">
        <v>-1</v>
      </c>
      <c r="F157" s="20">
        <f>D157*E157*100</f>
        <v>-109.5</v>
      </c>
      <c r="G157" s="20">
        <f>D158</f>
        <v>105.31</v>
      </c>
      <c r="H157" s="7">
        <v>111</v>
      </c>
      <c r="I157" s="7">
        <v>21.01</v>
      </c>
      <c r="J157" s="6">
        <v>40466</v>
      </c>
      <c r="K157" s="20">
        <f>J157-C157</f>
        <v>44</v>
      </c>
      <c r="L157" s="7" t="s">
        <v>32</v>
      </c>
      <c r="M157" s="7" t="s">
        <v>33</v>
      </c>
    </row>
    <row r="158" spans="2:9">
      <c r="B158" t="s">
        <v>34</v>
      </c>
      <c r="C158" s="21">
        <v>40422</v>
      </c>
      <c r="D158" s="7">
        <v>105.31</v>
      </c>
      <c r="E158" s="7">
        <v>100</v>
      </c>
      <c r="F158" s="20">
        <f>D158*E158</f>
        <v>10531</v>
      </c>
      <c r="G158" s="7"/>
      <c r="H158" s="7"/>
      <c r="I158" s="7"/>
    </row>
    <row r="159" spans="2:17">
      <c r="B159" t="s">
        <v>52</v>
      </c>
      <c r="C159" s="21">
        <v>40422</v>
      </c>
      <c r="D159" s="7"/>
      <c r="E159" s="7"/>
      <c r="F159" s="20">
        <f>F158+F157</f>
        <v>10421.5</v>
      </c>
      <c r="G159" s="7"/>
      <c r="H159" s="7"/>
      <c r="I159" s="7"/>
      <c r="N159" s="20">
        <f>H157-G157+D157</f>
        <v>6.785</v>
      </c>
      <c r="O159" s="7">
        <v>0</v>
      </c>
      <c r="P159" s="20">
        <f>G157-D157</f>
        <v>104.215</v>
      </c>
      <c r="Q159" s="20">
        <f>H157+D157</f>
        <v>112.095</v>
      </c>
    </row>
    <row r="162" spans="1:17">
      <c r="A162" t="s">
        <v>13</v>
      </c>
      <c r="B162" t="s">
        <v>12</v>
      </c>
      <c r="C162" t="s">
        <v>36</v>
      </c>
      <c r="D162" t="s">
        <v>37</v>
      </c>
      <c r="E162" t="s">
        <v>38</v>
      </c>
      <c r="F162" t="s">
        <v>39</v>
      </c>
      <c r="G162" t="s">
        <v>2</v>
      </c>
      <c r="H162" t="s">
        <v>8</v>
      </c>
      <c r="I162" t="s">
        <v>18</v>
      </c>
      <c r="J162" t="s">
        <v>4</v>
      </c>
      <c r="K162" t="s">
        <v>19</v>
      </c>
      <c r="L162" t="s">
        <v>20</v>
      </c>
      <c r="M162" t="s">
        <v>21</v>
      </c>
      <c r="N162" t="s">
        <v>27</v>
      </c>
      <c r="O162" t="s">
        <v>28</v>
      </c>
      <c r="P162" t="s">
        <v>29</v>
      </c>
      <c r="Q162" t="s">
        <v>40</v>
      </c>
    </row>
    <row r="163" spans="2:13">
      <c r="B163" t="s">
        <v>43</v>
      </c>
      <c r="C163" s="6">
        <v>40452</v>
      </c>
      <c r="D163" s="7">
        <v>2.765</v>
      </c>
      <c r="E163" s="7">
        <v>-1</v>
      </c>
      <c r="F163" s="20">
        <f>D163*E163*100</f>
        <v>-276.5</v>
      </c>
      <c r="G163" s="20">
        <f>D164</f>
        <v>114.61</v>
      </c>
      <c r="H163" s="7">
        <v>116</v>
      </c>
      <c r="I163" s="7">
        <v>20.19</v>
      </c>
      <c r="J163" s="6">
        <v>40501</v>
      </c>
      <c r="K163" s="20">
        <f>J163-C163</f>
        <v>49</v>
      </c>
      <c r="L163" s="7" t="s">
        <v>32</v>
      </c>
      <c r="M163" s="7" t="s">
        <v>33</v>
      </c>
    </row>
    <row r="164" spans="2:9">
      <c r="B164" t="s">
        <v>34</v>
      </c>
      <c r="C164" s="21">
        <f>C163</f>
        <v>40452</v>
      </c>
      <c r="D164" s="7">
        <v>114.61</v>
      </c>
      <c r="E164" s="7">
        <v>100</v>
      </c>
      <c r="F164" s="20">
        <f>D164*E164</f>
        <v>11461</v>
      </c>
      <c r="G164" s="7"/>
      <c r="H164" s="7"/>
      <c r="I164" s="7"/>
    </row>
    <row r="165" spans="2:17">
      <c r="B165" t="s">
        <v>52</v>
      </c>
      <c r="C165" s="21">
        <f>C163</f>
        <v>40452</v>
      </c>
      <c r="D165" s="7"/>
      <c r="E165" s="7"/>
      <c r="F165" s="20">
        <f>F164+F163</f>
        <v>11184.5</v>
      </c>
      <c r="G165" s="7"/>
      <c r="H165" s="7"/>
      <c r="I165" s="7"/>
      <c r="N165" s="20">
        <f>H163-G163+D163</f>
        <v>4.155</v>
      </c>
      <c r="O165" s="7">
        <v>0</v>
      </c>
      <c r="P165" s="20">
        <f>G163-D163</f>
        <v>111.845</v>
      </c>
      <c r="Q165" s="20">
        <f>H163+D163</f>
        <v>118.765</v>
      </c>
    </row>
    <row r="168" spans="1:17">
      <c r="A168" t="s">
        <v>13</v>
      </c>
      <c r="B168" t="s">
        <v>12</v>
      </c>
      <c r="C168" t="s">
        <v>36</v>
      </c>
      <c r="D168" t="s">
        <v>37</v>
      </c>
      <c r="E168" t="s">
        <v>38</v>
      </c>
      <c r="F168" t="s">
        <v>39</v>
      </c>
      <c r="G168" t="s">
        <v>2</v>
      </c>
      <c r="H168" t="s">
        <v>8</v>
      </c>
      <c r="I168" t="s">
        <v>18</v>
      </c>
      <c r="J168" t="s">
        <v>4</v>
      </c>
      <c r="K168" t="s">
        <v>19</v>
      </c>
      <c r="L168" t="s">
        <v>20</v>
      </c>
      <c r="M168" t="s">
        <v>21</v>
      </c>
      <c r="N168" t="s">
        <v>27</v>
      </c>
      <c r="O168" t="s">
        <v>28</v>
      </c>
      <c r="P168" t="s">
        <v>29</v>
      </c>
      <c r="Q168" t="s">
        <v>40</v>
      </c>
    </row>
    <row r="169" spans="2:13">
      <c r="B169" t="s">
        <v>43</v>
      </c>
      <c r="C169" s="6">
        <v>40483</v>
      </c>
      <c r="D169" s="7">
        <v>1.665</v>
      </c>
      <c r="E169" s="7">
        <v>-1</v>
      </c>
      <c r="F169" s="20">
        <f>D169*E169*100</f>
        <v>-166.5</v>
      </c>
      <c r="G169" s="20">
        <f>D170</f>
        <v>118.53</v>
      </c>
      <c r="H169" s="7">
        <v>122</v>
      </c>
      <c r="I169" s="7">
        <v>18.45</v>
      </c>
      <c r="J169" s="6">
        <v>40529</v>
      </c>
      <c r="K169" s="20">
        <f>J169-C169</f>
        <v>46</v>
      </c>
      <c r="L169" s="7" t="s">
        <v>32</v>
      </c>
      <c r="M169" s="7" t="s">
        <v>33</v>
      </c>
    </row>
    <row r="170" spans="2:9">
      <c r="B170" t="s">
        <v>34</v>
      </c>
      <c r="C170" s="21">
        <f>C169</f>
        <v>40483</v>
      </c>
      <c r="D170" s="45">
        <v>118.53</v>
      </c>
      <c r="E170" s="7">
        <v>100</v>
      </c>
      <c r="F170" s="20">
        <f>D170*E170</f>
        <v>11853</v>
      </c>
      <c r="G170" s="7"/>
      <c r="H170" s="7"/>
      <c r="I170" s="7"/>
    </row>
    <row r="171" spans="2:17">
      <c r="B171" t="s">
        <v>52</v>
      </c>
      <c r="C171" s="21">
        <f>C169</f>
        <v>40483</v>
      </c>
      <c r="D171" s="7"/>
      <c r="E171" s="7"/>
      <c r="F171" s="20">
        <f>F170+F169</f>
        <v>11686.5</v>
      </c>
      <c r="G171" s="7"/>
      <c r="H171" s="7"/>
      <c r="I171" s="7"/>
      <c r="N171" s="20">
        <f>H169-G169+D169</f>
        <v>5.135</v>
      </c>
      <c r="O171" s="7">
        <v>0</v>
      </c>
      <c r="P171" s="20">
        <f>G169-D169</f>
        <v>116.865</v>
      </c>
      <c r="Q171" s="20">
        <f>H169+D169</f>
        <v>123.665</v>
      </c>
    </row>
    <row r="174" spans="1:17">
      <c r="A174" t="s">
        <v>13</v>
      </c>
      <c r="B174" t="s">
        <v>12</v>
      </c>
      <c r="C174" t="s">
        <v>36</v>
      </c>
      <c r="D174" t="s">
        <v>37</v>
      </c>
      <c r="E174" t="s">
        <v>38</v>
      </c>
      <c r="F174" t="s">
        <v>39</v>
      </c>
      <c r="G174" t="s">
        <v>2</v>
      </c>
      <c r="H174" t="s">
        <v>8</v>
      </c>
      <c r="I174" t="s">
        <v>18</v>
      </c>
      <c r="J174" t="s">
        <v>4</v>
      </c>
      <c r="K174" t="s">
        <v>19</v>
      </c>
      <c r="L174" t="s">
        <v>20</v>
      </c>
      <c r="M174" t="s">
        <v>21</v>
      </c>
      <c r="N174" t="s">
        <v>27</v>
      </c>
      <c r="O174" t="s">
        <v>28</v>
      </c>
      <c r="P174" t="s">
        <v>29</v>
      </c>
      <c r="Q174" t="s">
        <v>40</v>
      </c>
    </row>
    <row r="175" spans="2:13">
      <c r="B175" t="s">
        <v>43</v>
      </c>
      <c r="C175" s="6">
        <v>40513</v>
      </c>
      <c r="D175" s="45">
        <v>1.295</v>
      </c>
      <c r="E175" s="7">
        <v>-1</v>
      </c>
      <c r="F175" s="20">
        <f>D175*E175*100</f>
        <v>-129.5</v>
      </c>
      <c r="G175" s="20">
        <f>D176</f>
        <v>121.01</v>
      </c>
      <c r="H175" s="7">
        <v>125</v>
      </c>
      <c r="I175" s="7">
        <v>16.83</v>
      </c>
      <c r="J175" s="6">
        <v>40564</v>
      </c>
      <c r="K175" s="20">
        <f>J175-C175</f>
        <v>51</v>
      </c>
      <c r="L175" s="7" t="s">
        <v>32</v>
      </c>
      <c r="M175" s="7" t="s">
        <v>33</v>
      </c>
    </row>
    <row r="176" spans="2:9">
      <c r="B176" t="s">
        <v>34</v>
      </c>
      <c r="C176" s="21">
        <f>C175</f>
        <v>40513</v>
      </c>
      <c r="D176" s="45">
        <v>121.01</v>
      </c>
      <c r="E176" s="7">
        <v>100</v>
      </c>
      <c r="F176" s="20">
        <f>D176*E176</f>
        <v>12101</v>
      </c>
      <c r="G176" s="7"/>
      <c r="H176" s="7"/>
      <c r="I176" s="7"/>
    </row>
    <row r="177" spans="2:17">
      <c r="B177" t="s">
        <v>52</v>
      </c>
      <c r="C177" s="21">
        <f>C175</f>
        <v>40513</v>
      </c>
      <c r="D177" s="7"/>
      <c r="E177" s="7"/>
      <c r="F177" s="20">
        <f>F176+F175</f>
        <v>11971.5</v>
      </c>
      <c r="G177" s="7"/>
      <c r="H177" s="7"/>
      <c r="I177" s="7"/>
      <c r="N177" s="20">
        <f>H175-G175+D175</f>
        <v>5.28499999999999</v>
      </c>
      <c r="O177" s="7">
        <v>0</v>
      </c>
      <c r="P177" s="20">
        <f>G175-D175</f>
        <v>119.715</v>
      </c>
      <c r="Q177" s="20">
        <f>H175+D175</f>
        <v>126.295</v>
      </c>
    </row>
    <row r="180" spans="1:17">
      <c r="A180" t="s">
        <v>13</v>
      </c>
      <c r="B180" t="s">
        <v>12</v>
      </c>
      <c r="C180" t="s">
        <v>36</v>
      </c>
      <c r="D180" t="s">
        <v>37</v>
      </c>
      <c r="E180" t="s">
        <v>38</v>
      </c>
      <c r="F180" t="s">
        <v>39</v>
      </c>
      <c r="G180" t="s">
        <v>2</v>
      </c>
      <c r="H180" t="s">
        <v>8</v>
      </c>
      <c r="I180" t="s">
        <v>18</v>
      </c>
      <c r="J180" t="s">
        <v>4</v>
      </c>
      <c r="K180" t="s">
        <v>19</v>
      </c>
      <c r="L180" t="s">
        <v>20</v>
      </c>
      <c r="M180" t="s">
        <v>21</v>
      </c>
      <c r="N180" t="s">
        <v>27</v>
      </c>
      <c r="O180" t="s">
        <v>28</v>
      </c>
      <c r="P180" t="s">
        <v>29</v>
      </c>
      <c r="Q180" t="s">
        <v>40</v>
      </c>
    </row>
    <row r="181" spans="2:13">
      <c r="B181" t="s">
        <v>43</v>
      </c>
      <c r="C181" s="6">
        <v>40546</v>
      </c>
      <c r="D181" s="45">
        <v>1.445</v>
      </c>
      <c r="E181" s="7">
        <v>-1</v>
      </c>
      <c r="F181" s="20">
        <f>D181*E181*100</f>
        <v>-144.5</v>
      </c>
      <c r="G181" s="20">
        <f>D182</f>
        <v>127.05</v>
      </c>
      <c r="H181" s="7">
        <v>130</v>
      </c>
      <c r="I181" s="7">
        <v>14.92</v>
      </c>
      <c r="J181" s="6">
        <v>40592</v>
      </c>
      <c r="K181" s="20">
        <f>J181-C181</f>
        <v>46</v>
      </c>
      <c r="L181" s="7" t="s">
        <v>32</v>
      </c>
      <c r="M181" s="7" t="s">
        <v>33</v>
      </c>
    </row>
    <row r="182" spans="2:9">
      <c r="B182" t="s">
        <v>34</v>
      </c>
      <c r="C182" s="21">
        <f>C181</f>
        <v>40546</v>
      </c>
      <c r="D182" s="45">
        <v>127.05</v>
      </c>
      <c r="E182" s="7">
        <v>100</v>
      </c>
      <c r="F182" s="20">
        <f>D182*E182</f>
        <v>12705</v>
      </c>
      <c r="G182" s="7"/>
      <c r="H182" s="7"/>
      <c r="I182" s="7"/>
    </row>
    <row r="183" spans="2:17">
      <c r="B183" t="s">
        <v>52</v>
      </c>
      <c r="C183" s="21">
        <f>C181</f>
        <v>40546</v>
      </c>
      <c r="D183" s="7"/>
      <c r="E183" s="7"/>
      <c r="F183" s="20">
        <f>F182+F181</f>
        <v>12560.5</v>
      </c>
      <c r="G183" s="7"/>
      <c r="H183" s="7"/>
      <c r="I183" s="7"/>
      <c r="N183" s="20">
        <f>H181-G181+D181</f>
        <v>4.395</v>
      </c>
      <c r="O183" s="7">
        <v>0</v>
      </c>
      <c r="P183" s="20">
        <f>G181-D181</f>
        <v>125.605</v>
      </c>
      <c r="Q183" s="20">
        <f>H181+D181</f>
        <v>131.445</v>
      </c>
    </row>
    <row r="186" spans="1:17">
      <c r="A186" t="s">
        <v>13</v>
      </c>
      <c r="B186" t="s">
        <v>12</v>
      </c>
      <c r="C186" t="s">
        <v>36</v>
      </c>
      <c r="D186" t="s">
        <v>37</v>
      </c>
      <c r="E186" t="s">
        <v>38</v>
      </c>
      <c r="F186" t="s">
        <v>39</v>
      </c>
      <c r="G186" t="s">
        <v>2</v>
      </c>
      <c r="H186" t="s">
        <v>8</v>
      </c>
      <c r="I186" t="s">
        <v>18</v>
      </c>
      <c r="J186" t="s">
        <v>4</v>
      </c>
      <c r="K186" t="s">
        <v>19</v>
      </c>
      <c r="L186" t="s">
        <v>20</v>
      </c>
      <c r="M186" t="s">
        <v>21</v>
      </c>
      <c r="N186" t="s">
        <v>27</v>
      </c>
      <c r="O186" t="s">
        <v>28</v>
      </c>
      <c r="P186" t="s">
        <v>29</v>
      </c>
      <c r="Q186" t="s">
        <v>40</v>
      </c>
    </row>
    <row r="187" spans="2:13">
      <c r="B187" t="s">
        <v>43</v>
      </c>
      <c r="C187" s="6">
        <v>40575</v>
      </c>
      <c r="D187" s="45">
        <v>1.11</v>
      </c>
      <c r="E187" s="7">
        <v>-1</v>
      </c>
      <c r="F187" s="20">
        <f>D187*E187*100</f>
        <v>-111</v>
      </c>
      <c r="G187" s="20">
        <f>D188</f>
        <v>130.74</v>
      </c>
      <c r="H187" s="7">
        <v>134</v>
      </c>
      <c r="I187" s="7">
        <v>13.62</v>
      </c>
      <c r="J187" s="6">
        <v>40620</v>
      </c>
      <c r="K187" s="20">
        <f>J187-C187</f>
        <v>45</v>
      </c>
      <c r="L187" s="7" t="s">
        <v>32</v>
      </c>
      <c r="M187" s="7" t="s">
        <v>33</v>
      </c>
    </row>
    <row r="188" spans="2:9">
      <c r="B188" t="s">
        <v>34</v>
      </c>
      <c r="C188" s="21">
        <f>C187</f>
        <v>40575</v>
      </c>
      <c r="D188" s="45">
        <v>130.74</v>
      </c>
      <c r="E188" s="7">
        <v>100</v>
      </c>
      <c r="F188" s="20">
        <f>D188*E188</f>
        <v>13074</v>
      </c>
      <c r="G188" s="7"/>
      <c r="H188" s="7"/>
      <c r="I188" s="7"/>
    </row>
    <row r="189" spans="2:17">
      <c r="B189" t="s">
        <v>52</v>
      </c>
      <c r="C189" s="21">
        <f>C187</f>
        <v>40575</v>
      </c>
      <c r="D189" s="7"/>
      <c r="E189" s="7"/>
      <c r="F189" s="20">
        <f>F188+F187</f>
        <v>12963</v>
      </c>
      <c r="G189" s="7"/>
      <c r="H189" s="7"/>
      <c r="I189" s="7"/>
      <c r="N189" s="20">
        <f>H187-G187+D187</f>
        <v>4.36999999999999</v>
      </c>
      <c r="O189" s="7">
        <v>0</v>
      </c>
      <c r="P189" s="20">
        <f>G187-D187</f>
        <v>129.63</v>
      </c>
      <c r="Q189" s="20">
        <f>H187+D187</f>
        <v>135.11</v>
      </c>
    </row>
    <row r="192" spans="1:17">
      <c r="A192" t="s">
        <v>13</v>
      </c>
      <c r="B192" t="s">
        <v>12</v>
      </c>
      <c r="C192" t="s">
        <v>36</v>
      </c>
      <c r="D192" t="s">
        <v>37</v>
      </c>
      <c r="E192" t="s">
        <v>38</v>
      </c>
      <c r="F192" t="s">
        <v>39</v>
      </c>
      <c r="G192" t="s">
        <v>2</v>
      </c>
      <c r="H192" t="s">
        <v>8</v>
      </c>
      <c r="I192" t="s">
        <v>18</v>
      </c>
      <c r="J192" t="s">
        <v>4</v>
      </c>
      <c r="K192" t="s">
        <v>19</v>
      </c>
      <c r="L192" t="s">
        <v>20</v>
      </c>
      <c r="M192" t="s">
        <v>21</v>
      </c>
      <c r="N192" t="s">
        <v>27</v>
      </c>
      <c r="O192" t="s">
        <v>28</v>
      </c>
      <c r="P192" t="s">
        <v>29</v>
      </c>
      <c r="Q192" t="s">
        <v>40</v>
      </c>
    </row>
    <row r="193" spans="2:13">
      <c r="B193" t="s">
        <v>43</v>
      </c>
      <c r="C193" s="6">
        <v>40603</v>
      </c>
      <c r="D193" s="45">
        <v>1.4</v>
      </c>
      <c r="E193" s="7">
        <v>-1</v>
      </c>
      <c r="F193" s="20">
        <f>D193*E193*100</f>
        <v>-140</v>
      </c>
      <c r="G193" s="20">
        <f>D194</f>
        <v>130.93</v>
      </c>
      <c r="H193" s="7">
        <v>134</v>
      </c>
      <c r="I193" s="7">
        <v>16</v>
      </c>
      <c r="J193" s="6">
        <v>40648</v>
      </c>
      <c r="K193" s="20">
        <f>J193-C193</f>
        <v>45</v>
      </c>
      <c r="L193" s="7" t="s">
        <v>32</v>
      </c>
      <c r="M193" s="7" t="s">
        <v>33</v>
      </c>
    </row>
    <row r="194" spans="2:9">
      <c r="B194" t="s">
        <v>34</v>
      </c>
      <c r="C194" s="21">
        <f>C193</f>
        <v>40603</v>
      </c>
      <c r="D194" s="45">
        <v>130.93</v>
      </c>
      <c r="E194" s="7">
        <v>100</v>
      </c>
      <c r="F194" s="20">
        <f>D194*E194</f>
        <v>13093</v>
      </c>
      <c r="G194" s="7"/>
      <c r="H194" s="7"/>
      <c r="I194" s="7"/>
    </row>
    <row r="195" spans="2:17">
      <c r="B195" t="s">
        <v>52</v>
      </c>
      <c r="C195" s="21">
        <f>C193</f>
        <v>40603</v>
      </c>
      <c r="D195" s="7"/>
      <c r="E195" s="7"/>
      <c r="F195" s="20">
        <f>F194+F193</f>
        <v>12953</v>
      </c>
      <c r="G195" s="7"/>
      <c r="H195" s="7"/>
      <c r="I195" s="7"/>
      <c r="N195" s="20">
        <f>H193-G193+D193</f>
        <v>4.46999999999999</v>
      </c>
      <c r="O195" s="7">
        <v>0</v>
      </c>
      <c r="P195" s="20">
        <f>G193-D193</f>
        <v>129.53</v>
      </c>
      <c r="Q195" s="20">
        <f>H193+D193</f>
        <v>135.4</v>
      </c>
    </row>
    <row r="198" spans="1:17">
      <c r="A198" t="s">
        <v>13</v>
      </c>
      <c r="B198" t="s">
        <v>12</v>
      </c>
      <c r="C198" t="s">
        <v>36</v>
      </c>
      <c r="D198" t="s">
        <v>37</v>
      </c>
      <c r="E198" t="s">
        <v>38</v>
      </c>
      <c r="F198" t="s">
        <v>39</v>
      </c>
      <c r="G198" t="s">
        <v>2</v>
      </c>
      <c r="H198" t="s">
        <v>8</v>
      </c>
      <c r="I198" t="s">
        <v>18</v>
      </c>
      <c r="J198" t="s">
        <v>4</v>
      </c>
      <c r="K198" t="s">
        <v>19</v>
      </c>
      <c r="L198" t="s">
        <v>20</v>
      </c>
      <c r="M198" t="s">
        <v>21</v>
      </c>
      <c r="N198" t="s">
        <v>27</v>
      </c>
      <c r="O198" t="s">
        <v>28</v>
      </c>
      <c r="P198" t="s">
        <v>29</v>
      </c>
      <c r="Q198" t="s">
        <v>40</v>
      </c>
    </row>
    <row r="199" spans="2:13">
      <c r="B199" t="s">
        <v>43</v>
      </c>
      <c r="C199" s="6">
        <v>40634</v>
      </c>
      <c r="D199" s="45">
        <v>1.55</v>
      </c>
      <c r="E199" s="7">
        <v>-1</v>
      </c>
      <c r="F199" s="20">
        <f>D199*E199*100</f>
        <v>-155</v>
      </c>
      <c r="G199" s="20">
        <f>D200</f>
        <v>133.15</v>
      </c>
      <c r="H199" s="7">
        <v>136</v>
      </c>
      <c r="I199" s="7">
        <v>13.94</v>
      </c>
      <c r="J199" s="6">
        <v>40683</v>
      </c>
      <c r="K199" s="20">
        <f>J199-C199</f>
        <v>49</v>
      </c>
      <c r="L199" s="7" t="s">
        <v>32</v>
      </c>
      <c r="M199" s="7" t="s">
        <v>33</v>
      </c>
    </row>
    <row r="200" spans="2:9">
      <c r="B200" t="s">
        <v>34</v>
      </c>
      <c r="C200" s="21">
        <f>C199</f>
        <v>40634</v>
      </c>
      <c r="D200" s="45">
        <v>133.15</v>
      </c>
      <c r="E200" s="7">
        <v>100</v>
      </c>
      <c r="F200" s="20">
        <f>D200*E200</f>
        <v>13315</v>
      </c>
      <c r="G200" s="7"/>
      <c r="H200" s="7"/>
      <c r="I200" s="7"/>
    </row>
    <row r="201" spans="2:17">
      <c r="B201" t="s">
        <v>52</v>
      </c>
      <c r="C201" s="21">
        <f>C199</f>
        <v>40634</v>
      </c>
      <c r="D201" s="7"/>
      <c r="E201" s="7"/>
      <c r="F201" s="20">
        <f>F200+F199</f>
        <v>13160</v>
      </c>
      <c r="G201" s="7"/>
      <c r="H201" s="7"/>
      <c r="I201" s="7"/>
      <c r="N201" s="20">
        <f>H199-G199+D199</f>
        <v>4.39999999999999</v>
      </c>
      <c r="O201" s="7">
        <v>0</v>
      </c>
      <c r="P201" s="20">
        <f>G199-D199</f>
        <v>131.6</v>
      </c>
      <c r="Q201" s="20">
        <f>H199+D199</f>
        <v>137.55</v>
      </c>
    </row>
    <row r="204" spans="1:17">
      <c r="A204" t="s">
        <v>13</v>
      </c>
      <c r="B204" t="s">
        <v>12</v>
      </c>
      <c r="C204" t="s">
        <v>36</v>
      </c>
      <c r="D204" t="s">
        <v>37</v>
      </c>
      <c r="E204" t="s">
        <v>38</v>
      </c>
      <c r="F204" t="s">
        <v>39</v>
      </c>
      <c r="G204" t="s">
        <v>2</v>
      </c>
      <c r="H204" t="s">
        <v>8</v>
      </c>
      <c r="I204" t="s">
        <v>18</v>
      </c>
      <c r="J204" t="s">
        <v>4</v>
      </c>
      <c r="K204" t="s">
        <v>19</v>
      </c>
      <c r="L204" t="s">
        <v>20</v>
      </c>
      <c r="M204" t="s">
        <v>21</v>
      </c>
      <c r="N204" t="s">
        <v>27</v>
      </c>
      <c r="O204" t="s">
        <v>28</v>
      </c>
      <c r="P204" t="s">
        <v>29</v>
      </c>
      <c r="Q204" t="s">
        <v>40</v>
      </c>
    </row>
    <row r="205" spans="2:13">
      <c r="B205" t="s">
        <v>43</v>
      </c>
      <c r="C205" s="6">
        <v>40665</v>
      </c>
      <c r="D205" s="45">
        <v>0.705</v>
      </c>
      <c r="E205" s="7">
        <v>-1</v>
      </c>
      <c r="F205" s="20">
        <f>D205*E205*100</f>
        <v>-70.5</v>
      </c>
      <c r="G205" s="20">
        <f>D206</f>
        <v>136.22</v>
      </c>
      <c r="H205" s="7">
        <v>141</v>
      </c>
      <c r="I205" s="7">
        <v>12.56</v>
      </c>
      <c r="J205" s="6">
        <v>40711</v>
      </c>
      <c r="K205" s="20">
        <f>J205-C205</f>
        <v>46</v>
      </c>
      <c r="L205" s="7" t="s">
        <v>32</v>
      </c>
      <c r="M205" s="7" t="s">
        <v>33</v>
      </c>
    </row>
    <row r="206" spans="2:9">
      <c r="B206" t="s">
        <v>34</v>
      </c>
      <c r="C206" s="21">
        <f>C205</f>
        <v>40665</v>
      </c>
      <c r="D206" s="45">
        <v>136.22</v>
      </c>
      <c r="E206" s="7">
        <v>100</v>
      </c>
      <c r="F206" s="20">
        <f>D206*E206</f>
        <v>13622</v>
      </c>
      <c r="G206" s="7"/>
      <c r="H206" s="7"/>
      <c r="I206" s="7"/>
    </row>
    <row r="207" spans="2:17">
      <c r="B207" t="s">
        <v>52</v>
      </c>
      <c r="C207" s="21">
        <f>C205</f>
        <v>40665</v>
      </c>
      <c r="D207" s="7"/>
      <c r="E207" s="7"/>
      <c r="F207" s="20">
        <f>F206+F205</f>
        <v>13551.5</v>
      </c>
      <c r="G207" s="7"/>
      <c r="H207" s="7"/>
      <c r="I207" s="7"/>
      <c r="N207" s="20">
        <f>H205-G205+D205</f>
        <v>5.485</v>
      </c>
      <c r="O207" s="7">
        <v>0</v>
      </c>
      <c r="P207" s="20">
        <f>G205-D205</f>
        <v>135.515</v>
      </c>
      <c r="Q207" s="20">
        <f>H205+D205</f>
        <v>141.705</v>
      </c>
    </row>
    <row r="210" spans="1:17">
      <c r="A210" t="s">
        <v>13</v>
      </c>
      <c r="B210" t="s">
        <v>12</v>
      </c>
      <c r="C210" t="s">
        <v>36</v>
      </c>
      <c r="D210" t="s">
        <v>37</v>
      </c>
      <c r="E210" t="s">
        <v>38</v>
      </c>
      <c r="F210" t="s">
        <v>39</v>
      </c>
      <c r="G210" t="s">
        <v>2</v>
      </c>
      <c r="H210" t="s">
        <v>8</v>
      </c>
      <c r="I210" t="s">
        <v>18</v>
      </c>
      <c r="J210" t="s">
        <v>4</v>
      </c>
      <c r="K210" t="s">
        <v>19</v>
      </c>
      <c r="L210" t="s">
        <v>20</v>
      </c>
      <c r="M210" t="s">
        <v>21</v>
      </c>
      <c r="N210" t="s">
        <v>27</v>
      </c>
      <c r="O210" t="s">
        <v>28</v>
      </c>
      <c r="P210" t="s">
        <v>29</v>
      </c>
      <c r="Q210" t="s">
        <v>40</v>
      </c>
    </row>
    <row r="211" spans="2:13">
      <c r="B211" t="s">
        <v>43</v>
      </c>
      <c r="C211" s="6">
        <v>40695</v>
      </c>
      <c r="D211" s="45">
        <v>0.84</v>
      </c>
      <c r="E211" s="7">
        <v>-1</v>
      </c>
      <c r="F211" s="20">
        <f>D211*E211*100</f>
        <v>-84</v>
      </c>
      <c r="G211" s="20">
        <f>D212</f>
        <v>131.87</v>
      </c>
      <c r="H211" s="7">
        <v>136</v>
      </c>
      <c r="I211" s="7">
        <v>13.75</v>
      </c>
      <c r="J211" s="6">
        <v>40739</v>
      </c>
      <c r="K211" s="20">
        <f>J211-C211</f>
        <v>44</v>
      </c>
      <c r="L211" s="7" t="s">
        <v>32</v>
      </c>
      <c r="M211" s="7" t="s">
        <v>33</v>
      </c>
    </row>
    <row r="212" spans="2:9">
      <c r="B212" t="s">
        <v>34</v>
      </c>
      <c r="C212" s="21">
        <f>C211</f>
        <v>40695</v>
      </c>
      <c r="D212" s="45">
        <v>131.87</v>
      </c>
      <c r="E212" s="7">
        <v>100</v>
      </c>
      <c r="F212" s="20">
        <f>D212*E212</f>
        <v>13187</v>
      </c>
      <c r="G212" s="7"/>
      <c r="H212" s="7"/>
      <c r="I212" s="7"/>
    </row>
    <row r="213" spans="2:17">
      <c r="B213" t="s">
        <v>52</v>
      </c>
      <c r="C213" s="21">
        <f>C211</f>
        <v>40695</v>
      </c>
      <c r="D213" s="7"/>
      <c r="E213" s="7"/>
      <c r="F213" s="20">
        <f>F212+F211</f>
        <v>13103</v>
      </c>
      <c r="G213" s="7"/>
      <c r="H213" s="7"/>
      <c r="I213" s="7"/>
      <c r="N213" s="20">
        <f>H211-G211+D211</f>
        <v>4.97</v>
      </c>
      <c r="O213" s="7">
        <v>0</v>
      </c>
      <c r="P213" s="20">
        <f>G211-D211</f>
        <v>131.03</v>
      </c>
      <c r="Q213" s="20">
        <f>H211+D211</f>
        <v>136.84</v>
      </c>
    </row>
    <row r="216" spans="1:17">
      <c r="A216" t="s">
        <v>13</v>
      </c>
      <c r="B216" t="s">
        <v>12</v>
      </c>
      <c r="C216" t="s">
        <v>36</v>
      </c>
      <c r="D216" t="s">
        <v>37</v>
      </c>
      <c r="E216" t="s">
        <v>38</v>
      </c>
      <c r="F216" t="s">
        <v>39</v>
      </c>
      <c r="G216" t="s">
        <v>2</v>
      </c>
      <c r="H216" t="s">
        <v>8</v>
      </c>
      <c r="I216" t="s">
        <v>18</v>
      </c>
      <c r="J216" t="s">
        <v>4</v>
      </c>
      <c r="K216" t="s">
        <v>19</v>
      </c>
      <c r="L216" t="s">
        <v>20</v>
      </c>
      <c r="M216" t="s">
        <v>21</v>
      </c>
      <c r="N216" t="s">
        <v>27</v>
      </c>
      <c r="O216" t="s">
        <v>28</v>
      </c>
      <c r="P216" t="s">
        <v>29</v>
      </c>
      <c r="Q216" t="s">
        <v>40</v>
      </c>
    </row>
    <row r="217" spans="2:13">
      <c r="B217" t="s">
        <v>43</v>
      </c>
      <c r="C217" s="6">
        <v>40725</v>
      </c>
      <c r="D217" s="45">
        <v>0.975</v>
      </c>
      <c r="E217" s="7">
        <v>-1</v>
      </c>
      <c r="F217" s="20">
        <f>D217*E217*100</f>
        <v>-97.5</v>
      </c>
      <c r="G217" s="20">
        <f>D218</f>
        <v>133.92</v>
      </c>
      <c r="H217" s="7">
        <v>138</v>
      </c>
      <c r="I217" s="7">
        <v>12.58</v>
      </c>
      <c r="J217" s="6">
        <v>40774</v>
      </c>
      <c r="K217" s="20">
        <f>J217-C217</f>
        <v>49</v>
      </c>
      <c r="L217" s="7" t="s">
        <v>32</v>
      </c>
      <c r="M217" s="7" t="s">
        <v>33</v>
      </c>
    </row>
    <row r="218" spans="2:9">
      <c r="B218" t="s">
        <v>34</v>
      </c>
      <c r="C218" s="21">
        <f>C217</f>
        <v>40725</v>
      </c>
      <c r="D218" s="45">
        <v>133.92</v>
      </c>
      <c r="E218" s="7">
        <v>100</v>
      </c>
      <c r="F218" s="20">
        <f>D218*E218</f>
        <v>13392</v>
      </c>
      <c r="G218" s="7"/>
      <c r="H218" s="7"/>
      <c r="I218" s="7"/>
    </row>
    <row r="219" spans="2:17">
      <c r="B219" t="s">
        <v>52</v>
      </c>
      <c r="C219" s="21">
        <f>C217</f>
        <v>40725</v>
      </c>
      <c r="D219" s="7"/>
      <c r="E219" s="7"/>
      <c r="F219" s="20">
        <f>F218+F217</f>
        <v>13294.5</v>
      </c>
      <c r="G219" s="7"/>
      <c r="H219" s="7"/>
      <c r="I219" s="7"/>
      <c r="N219" s="20">
        <f>H217-G217+D217</f>
        <v>5.05500000000001</v>
      </c>
      <c r="O219" s="7">
        <v>0</v>
      </c>
      <c r="P219" s="20">
        <f>G217-D217</f>
        <v>132.945</v>
      </c>
      <c r="Q219" s="20">
        <f>H217+D217</f>
        <v>138.975</v>
      </c>
    </row>
    <row r="222" spans="1:17">
      <c r="A222" t="s">
        <v>13</v>
      </c>
      <c r="B222" t="s">
        <v>12</v>
      </c>
      <c r="C222" t="s">
        <v>36</v>
      </c>
      <c r="D222" t="s">
        <v>37</v>
      </c>
      <c r="E222" t="s">
        <v>38</v>
      </c>
      <c r="F222" t="s">
        <v>39</v>
      </c>
      <c r="G222" t="s">
        <v>2</v>
      </c>
      <c r="H222" t="s">
        <v>8</v>
      </c>
      <c r="I222" t="s">
        <v>18</v>
      </c>
      <c r="J222" t="s">
        <v>4</v>
      </c>
      <c r="K222" t="s">
        <v>19</v>
      </c>
      <c r="L222" t="s">
        <v>20</v>
      </c>
      <c r="M222" t="s">
        <v>21</v>
      </c>
      <c r="N222" t="s">
        <v>27</v>
      </c>
      <c r="O222" t="s">
        <v>28</v>
      </c>
      <c r="P222" t="s">
        <v>29</v>
      </c>
      <c r="Q222" t="s">
        <v>40</v>
      </c>
    </row>
    <row r="223" spans="2:13">
      <c r="B223" t="s">
        <v>43</v>
      </c>
      <c r="C223" s="6">
        <v>40756</v>
      </c>
      <c r="D223" s="45">
        <v>1.435</v>
      </c>
      <c r="E223" s="7">
        <v>-1</v>
      </c>
      <c r="F223" s="20">
        <f>D223*E223*100</f>
        <v>-143.5</v>
      </c>
      <c r="G223" s="20">
        <f>D224</f>
        <v>128.78</v>
      </c>
      <c r="H223" s="7">
        <v>133</v>
      </c>
      <c r="I223" s="7">
        <v>17.9</v>
      </c>
      <c r="J223" s="6">
        <v>40802</v>
      </c>
      <c r="K223" s="20">
        <f>J223-C223</f>
        <v>46</v>
      </c>
      <c r="L223" s="7" t="s">
        <v>32</v>
      </c>
      <c r="M223" s="7" t="s">
        <v>33</v>
      </c>
    </row>
    <row r="224" spans="2:9">
      <c r="B224" t="s">
        <v>34</v>
      </c>
      <c r="C224" s="21">
        <f>C223</f>
        <v>40756</v>
      </c>
      <c r="D224" s="45">
        <v>128.78</v>
      </c>
      <c r="E224" s="7">
        <v>100</v>
      </c>
      <c r="F224" s="20">
        <f>D224*E224</f>
        <v>12878</v>
      </c>
      <c r="G224" s="7"/>
      <c r="H224" s="7"/>
      <c r="I224" s="7"/>
    </row>
    <row r="225" spans="2:17">
      <c r="B225" t="s">
        <v>52</v>
      </c>
      <c r="C225" s="21">
        <f>C223</f>
        <v>40756</v>
      </c>
      <c r="D225" s="7"/>
      <c r="E225" s="7"/>
      <c r="F225" s="20">
        <f>F224+F223</f>
        <v>12734.5</v>
      </c>
      <c r="G225" s="7"/>
      <c r="H225" s="7"/>
      <c r="I225" s="7"/>
      <c r="N225" s="20">
        <f>H223-G223+D223</f>
        <v>5.655</v>
      </c>
      <c r="O225" s="7">
        <v>0</v>
      </c>
      <c r="P225" s="20">
        <f>G223-D223</f>
        <v>127.345</v>
      </c>
      <c r="Q225" s="20">
        <f>H223+D223</f>
        <v>134.435</v>
      </c>
    </row>
    <row r="228" spans="1:17">
      <c r="A228" t="s">
        <v>13</v>
      </c>
      <c r="B228" t="s">
        <v>12</v>
      </c>
      <c r="C228" t="s">
        <v>36</v>
      </c>
      <c r="D228" t="s">
        <v>37</v>
      </c>
      <c r="E228" t="s">
        <v>38</v>
      </c>
      <c r="F228" t="s">
        <v>39</v>
      </c>
      <c r="G228" t="s">
        <v>2</v>
      </c>
      <c r="H228" t="s">
        <v>8</v>
      </c>
      <c r="I228" t="s">
        <v>18</v>
      </c>
      <c r="J228" t="s">
        <v>4</v>
      </c>
      <c r="K228" t="s">
        <v>19</v>
      </c>
      <c r="L228" t="s">
        <v>20</v>
      </c>
      <c r="M228" t="s">
        <v>21</v>
      </c>
      <c r="N228" t="s">
        <v>27</v>
      </c>
      <c r="O228" t="s">
        <v>28</v>
      </c>
      <c r="P228" t="s">
        <v>29</v>
      </c>
      <c r="Q228" t="s">
        <v>40</v>
      </c>
    </row>
    <row r="229" spans="2:13">
      <c r="B229" t="s">
        <v>43</v>
      </c>
      <c r="C229" s="6">
        <v>40787</v>
      </c>
      <c r="D229" s="45">
        <v>2395</v>
      </c>
      <c r="E229" s="7">
        <v>-1</v>
      </c>
      <c r="F229" s="20">
        <f>D229*E229*100</f>
        <v>-239500</v>
      </c>
      <c r="G229" s="20">
        <f>D230</f>
        <v>120.94</v>
      </c>
      <c r="H229" s="7">
        <v>125</v>
      </c>
      <c r="I229" s="7">
        <v>24.42</v>
      </c>
      <c r="J229" s="6">
        <v>40837</v>
      </c>
      <c r="K229" s="20">
        <f>J229-C229</f>
        <v>50</v>
      </c>
      <c r="L229" s="7" t="s">
        <v>32</v>
      </c>
      <c r="M229" s="7" t="s">
        <v>33</v>
      </c>
    </row>
    <row r="230" spans="2:9">
      <c r="B230" t="s">
        <v>34</v>
      </c>
      <c r="C230" s="21">
        <f>C229</f>
        <v>40787</v>
      </c>
      <c r="D230" s="45">
        <v>120.94</v>
      </c>
      <c r="E230" s="7">
        <v>100</v>
      </c>
      <c r="F230" s="20">
        <f>D230*E230</f>
        <v>12094</v>
      </c>
      <c r="G230" s="7"/>
      <c r="H230" s="7"/>
      <c r="I230" s="7"/>
    </row>
    <row r="231" spans="2:17">
      <c r="B231" t="s">
        <v>52</v>
      </c>
      <c r="C231" s="21">
        <f>C229</f>
        <v>40787</v>
      </c>
      <c r="D231" s="7"/>
      <c r="E231" s="7"/>
      <c r="F231" s="20">
        <f>F230+F229</f>
        <v>-227406</v>
      </c>
      <c r="G231" s="7"/>
      <c r="H231" s="7"/>
      <c r="I231" s="7"/>
      <c r="N231" s="20">
        <f>H229-G229+D229</f>
        <v>2399.06</v>
      </c>
      <c r="O231" s="7">
        <v>0</v>
      </c>
      <c r="P231" s="20">
        <f>G229-D229</f>
        <v>-2274.06</v>
      </c>
      <c r="Q231" s="20">
        <f>H229+D229</f>
        <v>2520</v>
      </c>
    </row>
    <row r="234" spans="1:17">
      <c r="A234" t="s">
        <v>13</v>
      </c>
      <c r="B234" t="s">
        <v>12</v>
      </c>
      <c r="C234" t="s">
        <v>36</v>
      </c>
      <c r="D234" t="s">
        <v>37</v>
      </c>
      <c r="E234" t="s">
        <v>38</v>
      </c>
      <c r="F234" t="s">
        <v>39</v>
      </c>
      <c r="G234" t="s">
        <v>2</v>
      </c>
      <c r="H234" t="s">
        <v>8</v>
      </c>
      <c r="I234" t="s">
        <v>18</v>
      </c>
      <c r="J234" t="s">
        <v>4</v>
      </c>
      <c r="K234" t="s">
        <v>19</v>
      </c>
      <c r="L234" t="s">
        <v>20</v>
      </c>
      <c r="M234" t="s">
        <v>21</v>
      </c>
      <c r="N234" t="s">
        <v>27</v>
      </c>
      <c r="O234" t="s">
        <v>28</v>
      </c>
      <c r="P234" t="s">
        <v>29</v>
      </c>
      <c r="Q234" t="s">
        <v>40</v>
      </c>
    </row>
    <row r="235" spans="2:13">
      <c r="B235" t="s">
        <v>43</v>
      </c>
      <c r="C235" s="6">
        <v>40819</v>
      </c>
      <c r="D235" s="45">
        <v>4.385</v>
      </c>
      <c r="E235" s="7">
        <v>-1</v>
      </c>
      <c r="F235" s="20">
        <f>D235*E235*100</f>
        <v>-438.5</v>
      </c>
      <c r="G235" s="20">
        <f>D236</f>
        <v>109.93</v>
      </c>
      <c r="H235" s="7">
        <v>113</v>
      </c>
      <c r="I235" s="7">
        <v>38.41</v>
      </c>
      <c r="J235" s="6">
        <v>40865</v>
      </c>
      <c r="K235" s="20">
        <f>J235-C235</f>
        <v>46</v>
      </c>
      <c r="L235" s="7" t="s">
        <v>32</v>
      </c>
      <c r="M235" s="7" t="s">
        <v>33</v>
      </c>
    </row>
    <row r="236" spans="2:9">
      <c r="B236" t="s">
        <v>34</v>
      </c>
      <c r="C236" s="21">
        <f>C235</f>
        <v>40819</v>
      </c>
      <c r="D236" s="45">
        <v>109.93</v>
      </c>
      <c r="E236" s="7">
        <v>100</v>
      </c>
      <c r="F236" s="20">
        <f>D236*E236</f>
        <v>10993</v>
      </c>
      <c r="G236" s="7"/>
      <c r="H236" s="7"/>
      <c r="I236" s="7"/>
    </row>
    <row r="237" spans="2:17">
      <c r="B237" t="s">
        <v>52</v>
      </c>
      <c r="C237" s="21">
        <f>C235</f>
        <v>40819</v>
      </c>
      <c r="D237" s="7"/>
      <c r="E237" s="7"/>
      <c r="F237" s="20">
        <f>F236+F235</f>
        <v>10554.5</v>
      </c>
      <c r="G237" s="7"/>
      <c r="H237" s="7"/>
      <c r="I237" s="7"/>
      <c r="N237" s="20">
        <f>H235-G235+D235</f>
        <v>7.45499999999999</v>
      </c>
      <c r="O237" s="7">
        <v>0</v>
      </c>
      <c r="P237" s="20">
        <f>G235-D235</f>
        <v>105.545</v>
      </c>
      <c r="Q237" s="20">
        <f>H235+D235</f>
        <v>117.385</v>
      </c>
    </row>
    <row r="240" spans="1:17">
      <c r="A240" t="s">
        <v>13</v>
      </c>
      <c r="B240" t="s">
        <v>12</v>
      </c>
      <c r="C240" t="s">
        <v>36</v>
      </c>
      <c r="D240" t="s">
        <v>37</v>
      </c>
      <c r="E240" t="s">
        <v>38</v>
      </c>
      <c r="F240" t="s">
        <v>39</v>
      </c>
      <c r="G240" t="s">
        <v>2</v>
      </c>
      <c r="H240" t="s">
        <v>8</v>
      </c>
      <c r="I240" t="s">
        <v>18</v>
      </c>
      <c r="J240" t="s">
        <v>4</v>
      </c>
      <c r="K240" t="s">
        <v>19</v>
      </c>
      <c r="L240" t="s">
        <v>20</v>
      </c>
      <c r="M240" t="s">
        <v>21</v>
      </c>
      <c r="N240" t="s">
        <v>27</v>
      </c>
      <c r="O240" t="s">
        <v>28</v>
      </c>
      <c r="P240" t="s">
        <v>29</v>
      </c>
      <c r="Q240" t="s">
        <v>40</v>
      </c>
    </row>
    <row r="241" spans="2:13">
      <c r="B241" t="s">
        <v>43</v>
      </c>
      <c r="C241" s="6">
        <v>40848</v>
      </c>
      <c r="D241" s="45">
        <v>2.69</v>
      </c>
      <c r="E241" s="7">
        <v>-1</v>
      </c>
      <c r="F241" s="20">
        <f>D241*E241*100</f>
        <v>-269</v>
      </c>
      <c r="G241" s="20">
        <f>D242</f>
        <v>122.002</v>
      </c>
      <c r="H241" s="7">
        <v>127</v>
      </c>
      <c r="I241" s="7">
        <v>27.31</v>
      </c>
      <c r="J241" s="6">
        <v>40893</v>
      </c>
      <c r="K241" s="20">
        <f>J241-C241</f>
        <v>45</v>
      </c>
      <c r="L241" s="7" t="s">
        <v>32</v>
      </c>
      <c r="M241" s="7" t="s">
        <v>33</v>
      </c>
    </row>
    <row r="242" spans="2:9">
      <c r="B242" t="s">
        <v>34</v>
      </c>
      <c r="C242" s="21">
        <f>C241</f>
        <v>40848</v>
      </c>
      <c r="D242" s="45">
        <v>122.002</v>
      </c>
      <c r="E242" s="7">
        <v>100</v>
      </c>
      <c r="F242" s="20">
        <f>D242*E242</f>
        <v>12200.2</v>
      </c>
      <c r="G242" s="7"/>
      <c r="H242" s="7"/>
      <c r="I242" s="7"/>
    </row>
    <row r="243" spans="2:17">
      <c r="B243" t="s">
        <v>52</v>
      </c>
      <c r="C243" s="21">
        <f>C241</f>
        <v>40848</v>
      </c>
      <c r="D243" s="7"/>
      <c r="E243" s="7"/>
      <c r="F243" s="20">
        <f>F242+F241</f>
        <v>11931.2</v>
      </c>
      <c r="G243" s="7"/>
      <c r="H243" s="7"/>
      <c r="I243" s="7"/>
      <c r="N243" s="20">
        <f>H241-G241+D241</f>
        <v>7.688</v>
      </c>
      <c r="O243" s="7">
        <v>0</v>
      </c>
      <c r="P243" s="20">
        <f>G241-D241</f>
        <v>119.312</v>
      </c>
      <c r="Q243" s="20">
        <f>H241+D241</f>
        <v>129.69</v>
      </c>
    </row>
    <row r="246" spans="1:17">
      <c r="A246" t="s">
        <v>13</v>
      </c>
      <c r="B246" t="s">
        <v>12</v>
      </c>
      <c r="C246" t="s">
        <v>36</v>
      </c>
      <c r="D246" t="s">
        <v>37</v>
      </c>
      <c r="E246" t="s">
        <v>38</v>
      </c>
      <c r="F246" t="s">
        <v>39</v>
      </c>
      <c r="G246" t="s">
        <v>2</v>
      </c>
      <c r="H246" t="s">
        <v>8</v>
      </c>
      <c r="I246" t="s">
        <v>18</v>
      </c>
      <c r="J246" t="s">
        <v>4</v>
      </c>
      <c r="K246" t="s">
        <v>19</v>
      </c>
      <c r="L246" t="s">
        <v>20</v>
      </c>
      <c r="M246" t="s">
        <v>21</v>
      </c>
      <c r="N246" t="s">
        <v>27</v>
      </c>
      <c r="O246" t="s">
        <v>28</v>
      </c>
      <c r="P246" t="s">
        <v>29</v>
      </c>
      <c r="Q246" t="s">
        <v>40</v>
      </c>
    </row>
    <row r="247" spans="2:13">
      <c r="B247" t="s">
        <v>43</v>
      </c>
      <c r="C247" s="6">
        <v>40878</v>
      </c>
      <c r="D247" s="45">
        <v>2.165</v>
      </c>
      <c r="E247" s="7">
        <v>-1</v>
      </c>
      <c r="F247" s="20">
        <f>D247*E247*100</f>
        <v>-216.5</v>
      </c>
      <c r="G247" s="20">
        <f>D248</f>
        <v>124.97</v>
      </c>
      <c r="H247" s="7">
        <v>129</v>
      </c>
      <c r="I247" s="7">
        <v>22.14</v>
      </c>
      <c r="J247" s="6">
        <v>40928</v>
      </c>
      <c r="K247" s="20">
        <f>J247-C247</f>
        <v>50</v>
      </c>
      <c r="L247" s="7" t="s">
        <v>32</v>
      </c>
      <c r="M247" s="7" t="s">
        <v>33</v>
      </c>
    </row>
    <row r="248" spans="2:9">
      <c r="B248" t="s">
        <v>34</v>
      </c>
      <c r="C248" s="21">
        <f>C247</f>
        <v>40878</v>
      </c>
      <c r="D248" s="45">
        <v>124.97</v>
      </c>
      <c r="E248" s="7">
        <v>100</v>
      </c>
      <c r="F248" s="20">
        <f>D248*E248</f>
        <v>12497</v>
      </c>
      <c r="G248" s="7"/>
      <c r="H248" s="7"/>
      <c r="I248" s="7"/>
    </row>
    <row r="249" spans="2:17">
      <c r="B249" t="s">
        <v>52</v>
      </c>
      <c r="C249" s="21">
        <f>C247</f>
        <v>40878</v>
      </c>
      <c r="D249" s="7"/>
      <c r="E249" s="7"/>
      <c r="F249" s="20">
        <f>F248+F247</f>
        <v>12280.5</v>
      </c>
      <c r="G249" s="7"/>
      <c r="H249" s="7"/>
      <c r="I249" s="7"/>
      <c r="N249" s="20">
        <f>H247-G247+D247</f>
        <v>6.195</v>
      </c>
      <c r="O249" s="7">
        <v>0</v>
      </c>
      <c r="P249" s="20">
        <f>G247-D247</f>
        <v>122.805</v>
      </c>
      <c r="Q249" s="20">
        <f>H247+D247</f>
        <v>131.165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zoomScale="115" zoomScaleNormal="115" topLeftCell="A39" workbookViewId="0">
      <selection activeCell="J42" sqref="J42:J45"/>
    </sheetView>
  </sheetViews>
  <sheetFormatPr defaultColWidth="9" defaultRowHeight="14.25"/>
  <cols>
    <col min="1" max="1" width="12.2833333333333" customWidth="1"/>
    <col min="2" max="2" width="22.5666666666667" customWidth="1"/>
    <col min="3" max="3" width="9" customWidth="1"/>
    <col min="4" max="4" width="11.5666666666667" customWidth="1"/>
    <col min="5" max="5" width="10.2833333333333" customWidth="1"/>
    <col min="6" max="6" width="21.5666666666667" customWidth="1"/>
    <col min="7" max="7" width="36.8583333333333" customWidth="1"/>
    <col min="8" max="8" width="8.425" customWidth="1"/>
    <col min="9" max="9" width="10.425" customWidth="1"/>
    <col min="10" max="10" width="10.5666666666667" customWidth="1"/>
    <col min="11" max="11" width="8.425" customWidth="1"/>
    <col min="12" max="12" width="14.1416666666667" customWidth="1"/>
    <col min="13" max="13" width="13" customWidth="1"/>
    <col min="14" max="14" width="8.56666666666667" customWidth="1"/>
    <col min="15" max="15" width="20.1416666666667" customWidth="1"/>
    <col min="16" max="17" width="10.7083333333333" customWidth="1"/>
    <col min="18" max="18" width="8.56666666666667" customWidth="1"/>
    <col min="19" max="19" width="8" customWidth="1"/>
    <col min="20" max="20" width="15.2833333333333" customWidth="1"/>
    <col min="21" max="21" width="10.8583333333333" customWidth="1"/>
    <col min="22" max="22" width="9.14166666666667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82</v>
      </c>
      <c r="K3" t="str">
        <f ca="1">CHAR(J3)</f>
        <v>R</v>
      </c>
      <c r="L3">
        <f ca="1" t="array" ref="L3:L7">_xlfn.RANDARRAY(5,1,0,9,TRUE)</f>
        <v>1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77</v>
      </c>
      <c r="K4" t="str">
        <f ca="1">CHAR(J4)</f>
        <v>M</v>
      </c>
      <c r="L4">
        <v>9</v>
      </c>
    </row>
    <row r="5" spans="6:12">
      <c r="F5" t="s">
        <v>65</v>
      </c>
      <c r="G5" t="s">
        <v>76</v>
      </c>
      <c r="J5">
        <v>66</v>
      </c>
      <c r="K5" t="str">
        <f ca="1">CHAR(J5)</f>
        <v>B</v>
      </c>
      <c r="L5">
        <v>0</v>
      </c>
    </row>
    <row r="6" spans="7:12">
      <c r="G6" t="s">
        <v>77</v>
      </c>
      <c r="J6">
        <v>82</v>
      </c>
      <c r="K6" t="str">
        <f ca="1">CHAR(J6)</f>
        <v>R</v>
      </c>
      <c r="L6">
        <v>2</v>
      </c>
    </row>
    <row r="7" spans="10:12">
      <c r="J7">
        <v>67</v>
      </c>
      <c r="K7" t="str">
        <f ca="1">CHAR(J7)</f>
        <v>C</v>
      </c>
      <c r="L7">
        <v>7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19">
        <v>0</v>
      </c>
      <c r="I33" s="19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19">
        <v>0</v>
      </c>
      <c r="I34" s="19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19">
        <v>0</v>
      </c>
      <c r="I36" s="19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19"/>
      <c r="I37" s="19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2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2" t="s">
        <v>92</v>
      </c>
    </row>
    <row r="44" spans="10:10">
      <c r="J44" s="22" t="s">
        <v>93</v>
      </c>
    </row>
    <row r="45" spans="10:10">
      <c r="J45" s="22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19">
        <v>0.02</v>
      </c>
      <c r="N49" s="8">
        <f t="shared" ref="N49:N60" si="0">M49*L49</f>
        <v>252.46</v>
      </c>
      <c r="O49" s="9">
        <f t="shared" ref="O49:O60" si="1">K49/L49</f>
        <v>0.0457102115186564</v>
      </c>
      <c r="P49">
        <v>126.23</v>
      </c>
      <c r="Q49">
        <v>132.82</v>
      </c>
      <c r="R49" t="str">
        <f>IF(OR(I49&gt;Q49,I49&lt;P49),"loss","win")</f>
        <v>loss</v>
      </c>
      <c r="S49">
        <f t="shared" ref="S49:S60" si="2">K49</f>
        <v>577</v>
      </c>
      <c r="T49" t="str">
        <f t="shared" ref="T49:T60" si="3">IF(V49&lt;0,"loss","win")</f>
        <v>loss</v>
      </c>
      <c r="U49">
        <f t="shared" ref="U49:U60" si="4">(I49-F49)*100</f>
        <v>748</v>
      </c>
      <c r="V49">
        <f t="shared" ref="V49:V60" si="5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19">
        <v>0.02</v>
      </c>
      <c r="N50" s="8">
        <f t="shared" si="0"/>
        <v>259.26</v>
      </c>
      <c r="O50" s="9">
        <f t="shared" si="1"/>
        <v>-0.0144256730695055</v>
      </c>
      <c r="P50">
        <f t="shared" ref="P50:P60" si="6">AA50</f>
        <v>129.63</v>
      </c>
      <c r="Q50">
        <f t="shared" ref="Q50:Q60" si="7">AB50</f>
        <v>135.11</v>
      </c>
      <c r="R50" t="str">
        <f t="shared" ref="R50:R51" si="8">IF(OR(I50&gt;Q50,I50&lt;P50),"loss","win")</f>
        <v>loss</v>
      </c>
      <c r="S50">
        <f t="shared" si="2"/>
        <v>-187</v>
      </c>
      <c r="T50" t="str">
        <f t="shared" si="3"/>
        <v>win</v>
      </c>
      <c r="U50">
        <f t="shared" si="4"/>
        <v>-298</v>
      </c>
      <c r="V50">
        <f t="shared" si="5"/>
        <v>111</v>
      </c>
      <c r="X50">
        <v>130.74</v>
      </c>
      <c r="Y50">
        <v>134</v>
      </c>
      <c r="Z50">
        <v>1.11</v>
      </c>
      <c r="AA50">
        <f t="shared" ref="AA50:AA60" si="9">X50-Z50</f>
        <v>129.63</v>
      </c>
      <c r="AB50">
        <f t="shared" ref="AB50:AB60" si="10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19">
        <v>0.02</v>
      </c>
      <c r="N51" s="8">
        <f t="shared" si="0"/>
        <v>260.08</v>
      </c>
      <c r="O51" s="9">
        <f t="shared" si="1"/>
        <v>0.0270685942786835</v>
      </c>
      <c r="P51">
        <f t="shared" si="6"/>
        <v>130.04</v>
      </c>
      <c r="Q51">
        <f t="shared" si="7"/>
        <v>134.89</v>
      </c>
      <c r="R51" t="str">
        <f t="shared" si="8"/>
        <v>win</v>
      </c>
      <c r="S51">
        <f t="shared" si="2"/>
        <v>352</v>
      </c>
      <c r="T51" t="str">
        <f t="shared" si="3"/>
        <v>win</v>
      </c>
      <c r="U51">
        <f t="shared" si="4"/>
        <v>222</v>
      </c>
      <c r="V51">
        <f t="shared" si="5"/>
        <v>130</v>
      </c>
      <c r="X51">
        <v>130.93</v>
      </c>
      <c r="Y51">
        <v>134</v>
      </c>
      <c r="Z51">
        <v>0.89</v>
      </c>
      <c r="AA51">
        <f t="shared" si="9"/>
        <v>130.04</v>
      </c>
      <c r="AB51">
        <f t="shared" si="10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19">
        <v>0.02</v>
      </c>
      <c r="N52" s="8">
        <f t="shared" si="0"/>
        <v>264.63</v>
      </c>
      <c r="O52" s="9">
        <f t="shared" si="1"/>
        <v>0.00978725012281298</v>
      </c>
      <c r="P52">
        <f t="shared" si="6"/>
        <v>132.315</v>
      </c>
      <c r="Q52">
        <f t="shared" si="7"/>
        <v>138.835</v>
      </c>
      <c r="R52" t="str">
        <f t="shared" ref="R52" si="11">IF(OR(I52&gt;Q52,I52&lt;P52),"loss","win")</f>
        <v>win</v>
      </c>
      <c r="S52">
        <f t="shared" si="2"/>
        <v>129.5</v>
      </c>
      <c r="T52" t="str">
        <f t="shared" si="3"/>
        <v>win</v>
      </c>
      <c r="U52">
        <f t="shared" si="4"/>
        <v>46.0000000000008</v>
      </c>
      <c r="V52">
        <f t="shared" si="5"/>
        <v>83.4999999999992</v>
      </c>
      <c r="X52">
        <v>133.15</v>
      </c>
      <c r="Y52">
        <v>138</v>
      </c>
      <c r="Z52">
        <v>0.835</v>
      </c>
      <c r="AA52">
        <f t="shared" si="9"/>
        <v>132.315</v>
      </c>
      <c r="AB52">
        <f t="shared" si="10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19">
        <v>0.02</v>
      </c>
      <c r="N53" s="8">
        <f t="shared" si="0"/>
        <v>264.63</v>
      </c>
      <c r="O53" s="9">
        <f t="shared" si="1"/>
        <v>-0.0618599554094396</v>
      </c>
      <c r="P53">
        <f t="shared" si="6"/>
        <v>135.235</v>
      </c>
      <c r="Q53">
        <f t="shared" si="7"/>
        <v>140.985</v>
      </c>
      <c r="R53" t="str">
        <f t="shared" ref="R53" si="12">IF(OR(I53&gt;Q53,I53&lt;P53),"loss","win")</f>
        <v>loss</v>
      </c>
      <c r="S53">
        <f t="shared" si="2"/>
        <v>-818.5</v>
      </c>
      <c r="T53" t="str">
        <f t="shared" si="3"/>
        <v>win</v>
      </c>
      <c r="U53">
        <f t="shared" si="4"/>
        <v>-917</v>
      </c>
      <c r="V53">
        <f t="shared" si="5"/>
        <v>98.5000000000002</v>
      </c>
      <c r="X53">
        <f t="shared" ref="X53:X60" si="13">F53</f>
        <v>136.22</v>
      </c>
      <c r="Y53">
        <v>140</v>
      </c>
      <c r="Z53">
        <v>0.985</v>
      </c>
      <c r="AA53">
        <f t="shared" si="9"/>
        <v>135.235</v>
      </c>
      <c r="AB53">
        <f t="shared" si="10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19">
        <v>0.02</v>
      </c>
      <c r="N54" s="8">
        <f t="shared" si="0"/>
        <v>262.27</v>
      </c>
      <c r="O54" s="9">
        <f t="shared" si="1"/>
        <v>0.0212376558508407</v>
      </c>
      <c r="P54">
        <f t="shared" si="6"/>
        <v>131.135</v>
      </c>
      <c r="Q54">
        <f t="shared" si="7"/>
        <v>135.735</v>
      </c>
      <c r="R54" t="str">
        <f t="shared" ref="R54" si="14">IF(OR(I54&gt;Q54,I54&lt;P54),"loss","win")</f>
        <v>win</v>
      </c>
      <c r="S54">
        <f t="shared" si="2"/>
        <v>278.5</v>
      </c>
      <c r="T54" t="str">
        <f t="shared" si="3"/>
        <v>win</v>
      </c>
      <c r="U54">
        <f t="shared" si="4"/>
        <v>204.999999999998</v>
      </c>
      <c r="V54">
        <f t="shared" si="5"/>
        <v>73.5000000000017</v>
      </c>
      <c r="X54">
        <f t="shared" si="13"/>
        <v>131.87</v>
      </c>
      <c r="Y54">
        <v>135</v>
      </c>
      <c r="Z54">
        <v>0.735</v>
      </c>
      <c r="AA54">
        <f t="shared" si="9"/>
        <v>131.135</v>
      </c>
      <c r="AB54">
        <f t="shared" si="10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19">
        <v>0.02</v>
      </c>
      <c r="N55" s="8">
        <f t="shared" si="0"/>
        <v>265.89</v>
      </c>
      <c r="O55" s="9">
        <f t="shared" si="1"/>
        <v>-0.152732332919628</v>
      </c>
      <c r="P55">
        <f t="shared" si="6"/>
        <v>132.945</v>
      </c>
      <c r="Q55">
        <f t="shared" si="7"/>
        <v>138.975</v>
      </c>
      <c r="R55" t="str">
        <f t="shared" ref="R55" si="15">IF(OR(I55&gt;Q55,I55&lt;P55),"loss","win")</f>
        <v>loss</v>
      </c>
      <c r="S55">
        <f t="shared" si="2"/>
        <v>-2030.5</v>
      </c>
      <c r="T55" t="str">
        <f t="shared" si="3"/>
        <v>win</v>
      </c>
      <c r="U55">
        <f t="shared" si="4"/>
        <v>-2128</v>
      </c>
      <c r="V55">
        <f t="shared" si="5"/>
        <v>97.4999999999986</v>
      </c>
      <c r="X55">
        <f t="shared" si="13"/>
        <v>133.92</v>
      </c>
      <c r="Y55">
        <v>138</v>
      </c>
      <c r="Z55">
        <v>0.975</v>
      </c>
      <c r="AA55">
        <f t="shared" si="9"/>
        <v>132.945</v>
      </c>
      <c r="AB55">
        <f t="shared" si="10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19">
        <v>0.02</v>
      </c>
      <c r="N56" s="8">
        <f t="shared" si="0"/>
        <v>255.38</v>
      </c>
      <c r="O56" s="9">
        <f t="shared" si="1"/>
        <v>-0.0482418356958258</v>
      </c>
      <c r="P56">
        <f t="shared" si="6"/>
        <v>127.69</v>
      </c>
      <c r="Q56">
        <f t="shared" si="7"/>
        <v>135.09</v>
      </c>
      <c r="R56" t="str">
        <f t="shared" ref="R56" si="16">IF(OR(I56&gt;Q56,I56&lt;P56),"loss","win")</f>
        <v>loss</v>
      </c>
      <c r="S56">
        <f t="shared" si="2"/>
        <v>-616</v>
      </c>
      <c r="T56" t="str">
        <f t="shared" si="3"/>
        <v>win</v>
      </c>
      <c r="U56">
        <f t="shared" si="4"/>
        <v>-725</v>
      </c>
      <c r="V56">
        <f t="shared" si="5"/>
        <v>109</v>
      </c>
      <c r="X56">
        <f t="shared" si="13"/>
        <v>128.78</v>
      </c>
      <c r="Y56">
        <v>134</v>
      </c>
      <c r="Z56">
        <v>1.09</v>
      </c>
      <c r="AA56">
        <f t="shared" si="9"/>
        <v>127.69</v>
      </c>
      <c r="AB56">
        <f t="shared" si="10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19">
        <v>0.02</v>
      </c>
      <c r="N57" s="8">
        <f t="shared" si="0"/>
        <v>239.46</v>
      </c>
      <c r="O57" s="9">
        <f t="shared" si="1"/>
        <v>-0.0549569865530778</v>
      </c>
      <c r="P57">
        <f t="shared" si="6"/>
        <v>119.73</v>
      </c>
      <c r="Q57">
        <f t="shared" si="7"/>
        <v>127.21</v>
      </c>
      <c r="R57" t="str">
        <f t="shared" ref="R57" si="17">IF(OR(I57&gt;Q57,I57&lt;P57),"loss","win")</f>
        <v>loss</v>
      </c>
      <c r="S57">
        <f t="shared" si="2"/>
        <v>-658</v>
      </c>
      <c r="T57" t="str">
        <f t="shared" si="3"/>
        <v>win</v>
      </c>
      <c r="U57">
        <f t="shared" si="4"/>
        <v>-778.999999999999</v>
      </c>
      <c r="V57">
        <f t="shared" si="5"/>
        <v>120.999999999999</v>
      </c>
      <c r="X57">
        <f t="shared" si="13"/>
        <v>120.94</v>
      </c>
      <c r="Y57">
        <v>126</v>
      </c>
      <c r="Z57">
        <v>1.21</v>
      </c>
      <c r="AA57">
        <f t="shared" si="9"/>
        <v>119.73</v>
      </c>
      <c r="AB57">
        <f t="shared" si="10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19">
        <v>0.02</v>
      </c>
      <c r="N58" s="8">
        <f t="shared" si="0"/>
        <v>222.72</v>
      </c>
      <c r="O58" s="9">
        <f t="shared" si="1"/>
        <v>0.0953573994252874</v>
      </c>
      <c r="P58">
        <f t="shared" si="6"/>
        <v>111.36</v>
      </c>
      <c r="Q58">
        <f t="shared" si="7"/>
        <v>124.79</v>
      </c>
      <c r="R58" t="str">
        <f t="shared" ref="R58" si="18">IF(OR(I58&gt;Q58,I58&lt;P58),"loss","win")</f>
        <v>win</v>
      </c>
      <c r="S58">
        <f t="shared" si="2"/>
        <v>1061.9</v>
      </c>
      <c r="T58" t="str">
        <f t="shared" si="3"/>
        <v>win</v>
      </c>
      <c r="U58">
        <f t="shared" si="4"/>
        <v>882.899999999999</v>
      </c>
      <c r="V58">
        <f t="shared" si="5"/>
        <v>179.000000000001</v>
      </c>
      <c r="X58">
        <f t="shared" si="13"/>
        <v>113.15</v>
      </c>
      <c r="Y58">
        <v>123</v>
      </c>
      <c r="Z58">
        <v>1.79</v>
      </c>
      <c r="AA58">
        <f t="shared" si="9"/>
        <v>111.36</v>
      </c>
      <c r="AB58">
        <f t="shared" si="10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19">
        <v>0.02</v>
      </c>
      <c r="N59" s="8">
        <f t="shared" si="0"/>
        <v>240.954</v>
      </c>
      <c r="O59" s="9">
        <f t="shared" si="1"/>
        <v>0.00923827784556388</v>
      </c>
      <c r="P59">
        <f t="shared" si="6"/>
        <v>120.055</v>
      </c>
      <c r="Q59">
        <f t="shared" si="7"/>
        <v>131.525</v>
      </c>
      <c r="R59" t="str">
        <f t="shared" ref="R59" si="19">IF(OR(I59&gt;Q59,I59&lt;P59),"loss","win")</f>
        <v>win</v>
      </c>
      <c r="S59">
        <f t="shared" si="2"/>
        <v>111.3</v>
      </c>
      <c r="T59" t="str">
        <f t="shared" si="3"/>
        <v>win</v>
      </c>
      <c r="U59">
        <f t="shared" si="4"/>
        <v>1.00000000000051</v>
      </c>
      <c r="V59">
        <f t="shared" si="5"/>
        <v>110.299999999999</v>
      </c>
      <c r="X59">
        <f t="shared" si="13"/>
        <v>121.58</v>
      </c>
      <c r="Y59">
        <v>130</v>
      </c>
      <c r="Z59">
        <v>1.525</v>
      </c>
      <c r="AA59">
        <f t="shared" si="9"/>
        <v>120.055</v>
      </c>
      <c r="AB59">
        <f t="shared" si="10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19">
        <v>0.02</v>
      </c>
      <c r="N60" s="8">
        <f t="shared" si="0"/>
        <v>248.06</v>
      </c>
      <c r="O60" s="9">
        <f t="shared" si="1"/>
        <v>0.0118519712972668</v>
      </c>
      <c r="P60">
        <f t="shared" si="6"/>
        <v>124.03</v>
      </c>
      <c r="Q60">
        <f t="shared" si="7"/>
        <v>130.94</v>
      </c>
      <c r="R60" t="str">
        <f t="shared" ref="R60" si="20">IF(OR(I60&gt;Q60,I60&lt;P60),"loss","win")</f>
        <v>win</v>
      </c>
      <c r="S60">
        <f t="shared" si="2"/>
        <v>147</v>
      </c>
      <c r="T60" t="str">
        <f t="shared" si="3"/>
        <v>win</v>
      </c>
      <c r="U60">
        <f t="shared" si="4"/>
        <v>53.0000000000001</v>
      </c>
      <c r="V60">
        <f t="shared" si="5"/>
        <v>93.9999999999999</v>
      </c>
      <c r="X60">
        <f t="shared" si="13"/>
        <v>124.97</v>
      </c>
      <c r="Y60">
        <v>130</v>
      </c>
      <c r="Z60">
        <v>0.94</v>
      </c>
      <c r="AA60">
        <f t="shared" si="9"/>
        <v>124.03</v>
      </c>
      <c r="AB60">
        <f t="shared" si="10"/>
        <v>130.94</v>
      </c>
    </row>
    <row r="61" spans="15:15">
      <c r="O61" s="23"/>
    </row>
    <row r="67" spans="20:22">
      <c r="T67" t="s">
        <v>63</v>
      </c>
      <c r="U67" t="s">
        <v>58</v>
      </c>
      <c r="V67" t="s">
        <v>64</v>
      </c>
    </row>
    <row r="68" spans="18:22">
      <c r="R68" t="s">
        <v>65</v>
      </c>
      <c r="S68" t="s">
        <v>62</v>
      </c>
      <c r="T68" s="41">
        <f>6/12</f>
        <v>0.5</v>
      </c>
      <c r="U68" s="8">
        <f>AVERAGE(S51,S52,S54,S58:S60)</f>
        <v>346.7</v>
      </c>
      <c r="V68" s="8">
        <f>T68*U68</f>
        <v>173.35</v>
      </c>
    </row>
    <row r="69" spans="19:23">
      <c r="S69" t="s">
        <v>61</v>
      </c>
      <c r="T69" s="41">
        <f>6/12</f>
        <v>0.5</v>
      </c>
      <c r="U69" s="8">
        <f>AVERAGE(S49:S50,S53,S55:S57)</f>
        <v>-622.166666666667</v>
      </c>
      <c r="V69" s="8">
        <f>T69*U69</f>
        <v>-311.083333333333</v>
      </c>
      <c r="W69" s="8">
        <f>V69+V68</f>
        <v>-137.733333333333</v>
      </c>
    </row>
    <row r="70" spans="18:22">
      <c r="R70" t="s">
        <v>125</v>
      </c>
      <c r="S70" t="s">
        <v>62</v>
      </c>
      <c r="T70" s="41">
        <f>11/12</f>
        <v>0.916666666666667</v>
      </c>
      <c r="U70" s="8">
        <f>AVERAGE(V50:V60)</f>
        <v>109.754545454545</v>
      </c>
      <c r="V70" s="8">
        <f>T70*U70</f>
        <v>100.608333333333</v>
      </c>
    </row>
    <row r="71" spans="19:23">
      <c r="S71" t="s">
        <v>61</v>
      </c>
      <c r="T71" s="41">
        <f>1/12</f>
        <v>0.0833333333333333</v>
      </c>
      <c r="U71" s="8">
        <f>V49</f>
        <v>-171</v>
      </c>
      <c r="V71" s="8">
        <f>T71*U71</f>
        <v>-14.25</v>
      </c>
      <c r="W71" s="8">
        <f>V71+V70</f>
        <v>86.3583333333332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8"/>
  <sheetViews>
    <sheetView tabSelected="1" zoomScale="115" zoomScaleNormal="115" topLeftCell="A50" workbookViewId="0">
      <selection activeCell="H62" sqref="H62"/>
    </sheetView>
  </sheetViews>
  <sheetFormatPr defaultColWidth="9" defaultRowHeight="14.25"/>
  <cols>
    <col min="1" max="1" width="12.2833333333333" customWidth="1"/>
    <col min="2" max="2" width="14.125" customWidth="1"/>
    <col min="3" max="3" width="13.75" customWidth="1"/>
    <col min="4" max="5" width="11.875" customWidth="1"/>
    <col min="6" max="6" width="12.3833333333333" customWidth="1"/>
    <col min="7" max="7" width="15.425" customWidth="1"/>
    <col min="8" max="8" width="12.1666666666667" customWidth="1"/>
    <col min="9" max="9" width="17.5" customWidth="1"/>
    <col min="10" max="10" width="10.5666666666667" customWidth="1"/>
    <col min="11" max="11" width="8.425" customWidth="1"/>
    <col min="12" max="12" width="13.75" customWidth="1"/>
    <col min="13" max="13" width="13" customWidth="1"/>
    <col min="14" max="14" width="8.56666666666667" customWidth="1"/>
    <col min="15" max="15" width="19.125" customWidth="1"/>
    <col min="16" max="16" width="14.75" customWidth="1"/>
    <col min="17" max="17" width="15.375" customWidth="1"/>
    <col min="18" max="18" width="20" customWidth="1"/>
    <col min="19" max="19" width="8.375" customWidth="1"/>
    <col min="20" max="20" width="15.2833333333333" customWidth="1"/>
    <col min="21" max="21" width="19.45" customWidth="1"/>
    <col min="22" max="22" width="15.4333333333333" customWidth="1"/>
    <col min="23" max="23" width="8.85833333333333" customWidth="1"/>
  </cols>
  <sheetData>
    <row r="1" ht="15" spans="1:2">
      <c r="A1" s="1">
        <v>2</v>
      </c>
      <c r="B1" s="2" t="s">
        <v>72</v>
      </c>
    </row>
    <row r="2" spans="6:10">
      <c r="F2" t="s">
        <v>73</v>
      </c>
      <c r="J2" t="s">
        <v>74</v>
      </c>
    </row>
    <row r="3" spans="6:13">
      <c r="F3" t="s">
        <v>34</v>
      </c>
      <c r="G3" t="s">
        <v>3</v>
      </c>
      <c r="J3">
        <f ca="1" t="array" ref="J3:J7">_xlfn.RANDARRAY(5,1,65,90,TRUE)</f>
        <v>88</v>
      </c>
      <c r="K3" t="str">
        <f ca="1" t="shared" ref="K3:K7" si="0">CHAR(J3)</f>
        <v>X</v>
      </c>
      <c r="L3">
        <f ca="1" t="array" ref="L3:L7">_xlfn.RANDARRAY(5,1,0,9,TRUE)</f>
        <v>9</v>
      </c>
      <c r="M3" t="e">
        <f ca="1">_xlfn.CONCAT(_xlfn.ANCHORARRAY(L3))&amp;"-"&amp;_xlfn.CONCAT(K3:K7)</f>
        <v>#NAME?</v>
      </c>
    </row>
    <row r="4" spans="6:12">
      <c r="F4" t="s">
        <v>43</v>
      </c>
      <c r="G4" t="s">
        <v>75</v>
      </c>
      <c r="J4">
        <v>73</v>
      </c>
      <c r="K4" t="str">
        <f ca="1" t="shared" si="0"/>
        <v>I</v>
      </c>
      <c r="L4">
        <v>1</v>
      </c>
    </row>
    <row r="5" spans="6:12">
      <c r="F5" t="s">
        <v>65</v>
      </c>
      <c r="G5" t="s">
        <v>76</v>
      </c>
      <c r="J5">
        <v>71</v>
      </c>
      <c r="K5" t="str">
        <f ca="1" t="shared" si="0"/>
        <v>G</v>
      </c>
      <c r="L5">
        <v>5</v>
      </c>
    </row>
    <row r="6" spans="7:12">
      <c r="G6" t="s">
        <v>77</v>
      </c>
      <c r="J6">
        <v>77</v>
      </c>
      <c r="K6" t="str">
        <f ca="1" t="shared" si="0"/>
        <v>M</v>
      </c>
      <c r="L6">
        <v>7</v>
      </c>
    </row>
    <row r="7" spans="10:12">
      <c r="J7">
        <v>79</v>
      </c>
      <c r="K7" t="str">
        <f ca="1" t="shared" si="0"/>
        <v>O</v>
      </c>
      <c r="L7">
        <v>4</v>
      </c>
    </row>
    <row r="8" spans="2:2">
      <c r="B8" t="s">
        <v>78</v>
      </c>
    </row>
    <row r="9" spans="2:3">
      <c r="B9" t="s">
        <v>2</v>
      </c>
      <c r="C9" t="s">
        <v>3</v>
      </c>
    </row>
    <row r="10" spans="2:3">
      <c r="B10" t="s">
        <v>4</v>
      </c>
      <c r="C10" t="s">
        <v>5</v>
      </c>
    </row>
    <row r="11" spans="2:3">
      <c r="B11" t="s">
        <v>6</v>
      </c>
      <c r="C11" t="s">
        <v>7</v>
      </c>
    </row>
    <row r="12" spans="2:3">
      <c r="B12" t="s">
        <v>8</v>
      </c>
      <c r="C12" t="s">
        <v>79</v>
      </c>
    </row>
    <row r="32" spans="2:23">
      <c r="B32">
        <v>1</v>
      </c>
      <c r="C32" t="s">
        <v>13</v>
      </c>
      <c r="D32" t="s">
        <v>12</v>
      </c>
      <c r="E32" t="s">
        <v>36</v>
      </c>
      <c r="F32" t="s">
        <v>73</v>
      </c>
      <c r="G32" t="s">
        <v>80</v>
      </c>
      <c r="H32" t="s">
        <v>81</v>
      </c>
      <c r="I32" t="s">
        <v>82</v>
      </c>
      <c r="J32" t="s">
        <v>37</v>
      </c>
      <c r="K32" t="s">
        <v>38</v>
      </c>
      <c r="L32" t="s">
        <v>39</v>
      </c>
      <c r="M32" t="s">
        <v>2</v>
      </c>
      <c r="N32" t="s">
        <v>8</v>
      </c>
      <c r="O32" t="s">
        <v>18</v>
      </c>
      <c r="P32" t="s">
        <v>4</v>
      </c>
      <c r="Q32" t="s">
        <v>19</v>
      </c>
      <c r="R32" t="s">
        <v>20</v>
      </c>
      <c r="S32" t="s">
        <v>21</v>
      </c>
      <c r="T32" t="s">
        <v>27</v>
      </c>
      <c r="U32" t="s">
        <v>28</v>
      </c>
      <c r="V32" t="s">
        <v>29</v>
      </c>
      <c r="W32" t="s">
        <v>40</v>
      </c>
    </row>
    <row r="33" spans="3:19">
      <c r="C33" t="s">
        <v>83</v>
      </c>
      <c r="D33" t="s">
        <v>43</v>
      </c>
      <c r="E33" s="6">
        <v>40546</v>
      </c>
      <c r="F33" t="s">
        <v>84</v>
      </c>
      <c r="G33">
        <v>0.82</v>
      </c>
      <c r="H33" s="19">
        <v>0</v>
      </c>
      <c r="I33" s="19">
        <v>0</v>
      </c>
      <c r="J33" s="7">
        <f>G33*(1-H33-I33)</f>
        <v>0.82</v>
      </c>
      <c r="K33" s="7">
        <v>-1</v>
      </c>
      <c r="L33" s="7">
        <f>J33*K33*100</f>
        <v>-82</v>
      </c>
      <c r="M33" s="7">
        <f>G34</f>
        <v>127.05</v>
      </c>
      <c r="N33" s="7">
        <v>132</v>
      </c>
      <c r="O33" s="7">
        <v>14.25</v>
      </c>
      <c r="P33" s="6">
        <v>40592</v>
      </c>
      <c r="Q33" s="7">
        <v>46</v>
      </c>
      <c r="R33" s="7" t="s">
        <v>32</v>
      </c>
      <c r="S33" s="7" t="s">
        <v>33</v>
      </c>
    </row>
    <row r="34" spans="4:15">
      <c r="D34" t="s">
        <v>34</v>
      </c>
      <c r="E34" s="6">
        <v>40546</v>
      </c>
      <c r="F34" t="s">
        <v>3</v>
      </c>
      <c r="G34">
        <v>127.05</v>
      </c>
      <c r="H34" s="19">
        <v>0</v>
      </c>
      <c r="I34" s="19">
        <v>0</v>
      </c>
      <c r="J34" s="7">
        <f>G34*(1+H34+I34)</f>
        <v>127.05</v>
      </c>
      <c r="K34" s="7">
        <v>100</v>
      </c>
      <c r="L34" s="7">
        <f>J34*K34</f>
        <v>12705</v>
      </c>
      <c r="M34" s="7"/>
      <c r="N34" s="7"/>
      <c r="O34" s="7"/>
    </row>
    <row r="35" spans="4:23">
      <c r="D35" t="s">
        <v>52</v>
      </c>
      <c r="E35" s="6">
        <v>40546</v>
      </c>
      <c r="F35" t="s">
        <v>85</v>
      </c>
      <c r="J35" s="7">
        <f>J34-J33</f>
        <v>126.23</v>
      </c>
      <c r="K35" s="7"/>
      <c r="L35" s="7">
        <f>L34+L33</f>
        <v>12623</v>
      </c>
      <c r="M35" s="7"/>
      <c r="N35" s="7"/>
      <c r="O35" s="7"/>
      <c r="T35" s="7">
        <f>N33-J34+J33</f>
        <v>5.77</v>
      </c>
      <c r="U35" s="7">
        <v>0</v>
      </c>
      <c r="V35" s="7">
        <f>J34-J33</f>
        <v>126.23</v>
      </c>
      <c r="W35" s="7">
        <f>N33+J33</f>
        <v>132.82</v>
      </c>
    </row>
    <row r="36" spans="8:12">
      <c r="H36" s="19">
        <v>0</v>
      </c>
      <c r="I36" s="19">
        <v>0</v>
      </c>
      <c r="J36" s="7">
        <f>132-G33</f>
        <v>131.18</v>
      </c>
      <c r="K36" s="7">
        <v>100</v>
      </c>
      <c r="L36" s="7">
        <f>J36*K36</f>
        <v>13118</v>
      </c>
    </row>
    <row r="37" spans="3:12">
      <c r="C37" t="s">
        <v>86</v>
      </c>
      <c r="E37" s="6"/>
      <c r="H37" s="19"/>
      <c r="I37" s="19"/>
      <c r="J37" s="7"/>
      <c r="K37" s="7"/>
      <c r="L37" s="7"/>
    </row>
    <row r="38" spans="3:23">
      <c r="C38" t="s">
        <v>87</v>
      </c>
      <c r="D38" s="8">
        <f>L36-L35</f>
        <v>495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>
      <c r="D39" s="6" t="s">
        <v>88</v>
      </c>
      <c r="E39" s="7" t="s">
        <v>86</v>
      </c>
      <c r="F39" s="7" t="s">
        <v>45</v>
      </c>
      <c r="G39" t="s">
        <v>89</v>
      </c>
      <c r="H39" s="7" t="s">
        <v>87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>
      <c r="C40" t="s">
        <v>90</v>
      </c>
      <c r="D40">
        <v>134.53</v>
      </c>
      <c r="E40">
        <f>D40-G34</f>
        <v>7.48</v>
      </c>
      <c r="F40" s="8">
        <f>-MAX(D40-N33,0)</f>
        <v>-2.53</v>
      </c>
      <c r="G40" s="8">
        <f>J33</f>
        <v>0.82</v>
      </c>
      <c r="H40" s="8">
        <f>E40+F40+G40</f>
        <v>5.77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>
      <c r="D42" s="6"/>
      <c r="E42" s="7"/>
      <c r="F42" s="7"/>
      <c r="G42" s="7"/>
      <c r="H42" s="7"/>
      <c r="I42" s="7"/>
      <c r="J42" s="22" t="s">
        <v>91</v>
      </c>
      <c r="K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0:10">
      <c r="J43" s="22" t="s">
        <v>92</v>
      </c>
    </row>
    <row r="44" spans="10:10">
      <c r="J44" s="22" t="s">
        <v>93</v>
      </c>
    </row>
    <row r="45" spans="10:10">
      <c r="J45" s="22" t="s">
        <v>94</v>
      </c>
    </row>
    <row r="46" spans="1:1">
      <c r="A46" t="s">
        <v>95</v>
      </c>
    </row>
    <row r="47" spans="1:12">
      <c r="A47" t="s">
        <v>96</v>
      </c>
      <c r="D47" t="s">
        <v>83</v>
      </c>
      <c r="G47" t="s">
        <v>90</v>
      </c>
      <c r="L47" t="s">
        <v>97</v>
      </c>
    </row>
    <row r="48" spans="1:28">
      <c r="A48" t="s">
        <v>98</v>
      </c>
      <c r="B48" t="s">
        <v>99</v>
      </c>
      <c r="C48" t="s">
        <v>100</v>
      </c>
      <c r="D48" t="s">
        <v>101</v>
      </c>
      <c r="E48" t="s">
        <v>102</v>
      </c>
      <c r="F48" t="s">
        <v>88</v>
      </c>
      <c r="G48" t="s">
        <v>36</v>
      </c>
      <c r="H48" t="s">
        <v>102</v>
      </c>
      <c r="I48" t="s">
        <v>88</v>
      </c>
      <c r="J48" t="s">
        <v>103</v>
      </c>
      <c r="K48" t="s">
        <v>87</v>
      </c>
      <c r="L48" t="s">
        <v>104</v>
      </c>
      <c r="M48" t="s">
        <v>105</v>
      </c>
      <c r="N48" t="s">
        <v>28</v>
      </c>
      <c r="O48" t="s">
        <v>106</v>
      </c>
      <c r="P48" t="s">
        <v>107</v>
      </c>
      <c r="Q48" t="s">
        <v>108</v>
      </c>
      <c r="R48" t="s">
        <v>57</v>
      </c>
      <c r="S48" t="s">
        <v>58</v>
      </c>
      <c r="T48" t="s">
        <v>109</v>
      </c>
      <c r="U48" t="s">
        <v>110</v>
      </c>
      <c r="V48" t="s">
        <v>58</v>
      </c>
      <c r="X48" t="s">
        <v>2</v>
      </c>
      <c r="Y48" t="s">
        <v>8</v>
      </c>
      <c r="Z48" t="s">
        <v>111</v>
      </c>
      <c r="AA48" t="s">
        <v>54</v>
      </c>
      <c r="AB48" t="s">
        <v>55</v>
      </c>
    </row>
    <row r="49" spans="1:22">
      <c r="A49" t="s">
        <v>112</v>
      </c>
      <c r="B49" t="s">
        <v>113</v>
      </c>
      <c r="C49" t="s">
        <v>114</v>
      </c>
      <c r="D49" s="6">
        <v>40546.3958333333</v>
      </c>
      <c r="E49" s="12">
        <v>0.395833333333333</v>
      </c>
      <c r="F49">
        <v>127.05</v>
      </c>
      <c r="G49" s="6">
        <v>40592</v>
      </c>
      <c r="H49" s="12">
        <v>0.395833333333333</v>
      </c>
      <c r="I49" s="7">
        <v>134.53</v>
      </c>
      <c r="J49" t="s">
        <v>94</v>
      </c>
      <c r="K49">
        <v>577</v>
      </c>
      <c r="L49" s="8">
        <f>L35</f>
        <v>12623</v>
      </c>
      <c r="M49" s="19">
        <v>0.02</v>
      </c>
      <c r="N49" s="8">
        <f t="shared" ref="N49:N60" si="1">M49*L49</f>
        <v>252.46</v>
      </c>
      <c r="O49" s="9">
        <f t="shared" ref="O49:O60" si="2">K49/L49</f>
        <v>0.0457102115186564</v>
      </c>
      <c r="P49">
        <v>126.23</v>
      </c>
      <c r="Q49">
        <v>132.82</v>
      </c>
      <c r="R49" t="str">
        <f t="shared" ref="R49:R60" si="3">IF(OR(I49&gt;Q49,I49&lt;P49),"loss","win")</f>
        <v>loss</v>
      </c>
      <c r="S49">
        <f t="shared" ref="S49:S60" si="4">K49</f>
        <v>577</v>
      </c>
      <c r="T49" t="str">
        <f t="shared" ref="T49:T60" si="5">IF(V49&lt;0,"loss","win")</f>
        <v>loss</v>
      </c>
      <c r="U49">
        <f t="shared" ref="U49:U60" si="6">(I49-F49)*100</f>
        <v>748</v>
      </c>
      <c r="V49">
        <f t="shared" ref="V49:V60" si="7">S49-U49</f>
        <v>-171</v>
      </c>
    </row>
    <row r="50" spans="1:28">
      <c r="A50" t="s">
        <v>115</v>
      </c>
      <c r="B50" t="s">
        <v>113</v>
      </c>
      <c r="C50" t="s">
        <v>114</v>
      </c>
      <c r="D50" s="6">
        <v>40575</v>
      </c>
      <c r="E50" s="12">
        <v>0.395833333333333</v>
      </c>
      <c r="F50">
        <v>130.74</v>
      </c>
      <c r="G50" s="6">
        <v>40620</v>
      </c>
      <c r="H50" s="12">
        <v>0.395833333333333</v>
      </c>
      <c r="I50" s="7">
        <v>127.76</v>
      </c>
      <c r="J50" t="s">
        <v>94</v>
      </c>
      <c r="K50">
        <v>-187</v>
      </c>
      <c r="L50" s="7">
        <v>12963</v>
      </c>
      <c r="M50" s="19">
        <v>0.02</v>
      </c>
      <c r="N50" s="8">
        <f t="shared" si="1"/>
        <v>259.26</v>
      </c>
      <c r="O50" s="9">
        <f t="shared" si="2"/>
        <v>-0.0144256730695055</v>
      </c>
      <c r="P50">
        <f t="shared" ref="P50:P60" si="8">AA50</f>
        <v>129.63</v>
      </c>
      <c r="Q50">
        <f t="shared" ref="Q50:Q60" si="9">AB50</f>
        <v>135.11</v>
      </c>
      <c r="R50" t="str">
        <f t="shared" si="3"/>
        <v>loss</v>
      </c>
      <c r="S50">
        <f t="shared" si="4"/>
        <v>-187</v>
      </c>
      <c r="T50" t="str">
        <f t="shared" si="5"/>
        <v>win</v>
      </c>
      <c r="U50">
        <f t="shared" si="6"/>
        <v>-298</v>
      </c>
      <c r="V50">
        <f t="shared" si="7"/>
        <v>111</v>
      </c>
      <c r="X50">
        <v>130.74</v>
      </c>
      <c r="Y50">
        <v>134</v>
      </c>
      <c r="Z50">
        <v>1.11</v>
      </c>
      <c r="AA50">
        <f t="shared" ref="AA50:AA60" si="10">X50-Z50</f>
        <v>129.63</v>
      </c>
      <c r="AB50">
        <f t="shared" ref="AB50:AB60" si="11">Y50+Z50</f>
        <v>135.11</v>
      </c>
    </row>
    <row r="51" spans="1:28">
      <c r="A51" t="s">
        <v>116</v>
      </c>
      <c r="B51" t="s">
        <v>113</v>
      </c>
      <c r="C51" t="s">
        <v>114</v>
      </c>
      <c r="D51" s="6">
        <v>40603</v>
      </c>
      <c r="E51" s="12">
        <v>0.395833333333333</v>
      </c>
      <c r="F51">
        <v>130.93</v>
      </c>
      <c r="G51" s="6">
        <v>40634</v>
      </c>
      <c r="H51" s="12">
        <v>0.395833333333333</v>
      </c>
      <c r="I51" s="7">
        <v>133.15</v>
      </c>
      <c r="J51" t="s">
        <v>94</v>
      </c>
      <c r="K51">
        <v>352</v>
      </c>
      <c r="L51" s="7">
        <v>13004</v>
      </c>
      <c r="M51" s="19">
        <v>0.02</v>
      </c>
      <c r="N51" s="8">
        <f t="shared" si="1"/>
        <v>260.08</v>
      </c>
      <c r="O51" s="9">
        <f t="shared" si="2"/>
        <v>0.0270685942786835</v>
      </c>
      <c r="P51">
        <f t="shared" si="8"/>
        <v>130.04</v>
      </c>
      <c r="Q51">
        <f t="shared" si="9"/>
        <v>134.89</v>
      </c>
      <c r="R51" t="str">
        <f t="shared" si="3"/>
        <v>win</v>
      </c>
      <c r="S51">
        <f t="shared" si="4"/>
        <v>352</v>
      </c>
      <c r="T51" t="str">
        <f t="shared" si="5"/>
        <v>win</v>
      </c>
      <c r="U51">
        <f t="shared" si="6"/>
        <v>222</v>
      </c>
      <c r="V51">
        <f t="shared" si="7"/>
        <v>130</v>
      </c>
      <c r="X51">
        <v>130.93</v>
      </c>
      <c r="Y51">
        <v>134</v>
      </c>
      <c r="Z51">
        <v>0.89</v>
      </c>
      <c r="AA51">
        <f t="shared" si="10"/>
        <v>130.04</v>
      </c>
      <c r="AB51">
        <f t="shared" si="11"/>
        <v>134.89</v>
      </c>
    </row>
    <row r="52" spans="1:28">
      <c r="A52" t="s">
        <v>117</v>
      </c>
      <c r="B52" t="s">
        <v>113</v>
      </c>
      <c r="C52" t="s">
        <v>114</v>
      </c>
      <c r="D52" s="6">
        <v>40634</v>
      </c>
      <c r="E52" s="12">
        <v>0.395833333333333</v>
      </c>
      <c r="F52">
        <v>133.15</v>
      </c>
      <c r="G52" s="6">
        <v>40684</v>
      </c>
      <c r="H52" s="12">
        <v>0.395833333333333</v>
      </c>
      <c r="I52" s="7">
        <v>133.61</v>
      </c>
      <c r="J52" t="s">
        <v>94</v>
      </c>
      <c r="K52">
        <v>129.5</v>
      </c>
      <c r="L52" s="7">
        <v>13231.5</v>
      </c>
      <c r="M52" s="19">
        <v>0.02</v>
      </c>
      <c r="N52" s="8">
        <f t="shared" si="1"/>
        <v>264.63</v>
      </c>
      <c r="O52" s="9">
        <f t="shared" si="2"/>
        <v>0.00978725012281298</v>
      </c>
      <c r="P52">
        <f t="shared" si="8"/>
        <v>132.315</v>
      </c>
      <c r="Q52">
        <f t="shared" si="9"/>
        <v>138.835</v>
      </c>
      <c r="R52" t="str">
        <f t="shared" si="3"/>
        <v>win</v>
      </c>
      <c r="S52">
        <f t="shared" si="4"/>
        <v>129.5</v>
      </c>
      <c r="T52" t="str">
        <f t="shared" si="5"/>
        <v>win</v>
      </c>
      <c r="U52">
        <f t="shared" si="6"/>
        <v>46.0000000000008</v>
      </c>
      <c r="V52">
        <f t="shared" si="7"/>
        <v>83.4999999999992</v>
      </c>
      <c r="X52">
        <v>133.15</v>
      </c>
      <c r="Y52">
        <v>138</v>
      </c>
      <c r="Z52">
        <v>0.835</v>
      </c>
      <c r="AA52">
        <f t="shared" si="10"/>
        <v>132.315</v>
      </c>
      <c r="AB52">
        <f t="shared" si="11"/>
        <v>138.835</v>
      </c>
    </row>
    <row r="53" spans="1:28">
      <c r="A53" t="s">
        <v>118</v>
      </c>
      <c r="B53" t="s">
        <v>113</v>
      </c>
      <c r="C53" t="s">
        <v>114</v>
      </c>
      <c r="D53" s="6">
        <v>40665</v>
      </c>
      <c r="E53" s="12">
        <v>0.395833333333333</v>
      </c>
      <c r="F53">
        <v>136.22</v>
      </c>
      <c r="G53" s="6">
        <v>40712</v>
      </c>
      <c r="H53" s="12">
        <v>0.395833333333333</v>
      </c>
      <c r="I53" s="7">
        <v>127.05</v>
      </c>
      <c r="J53" t="s">
        <v>94</v>
      </c>
      <c r="K53">
        <v>-818.5</v>
      </c>
      <c r="L53" s="7">
        <v>13231.5</v>
      </c>
      <c r="M53" s="19">
        <v>0.02</v>
      </c>
      <c r="N53" s="8">
        <f t="shared" si="1"/>
        <v>264.63</v>
      </c>
      <c r="O53" s="9">
        <f t="shared" si="2"/>
        <v>-0.0618599554094396</v>
      </c>
      <c r="P53">
        <f t="shared" si="8"/>
        <v>135.235</v>
      </c>
      <c r="Q53">
        <f t="shared" si="9"/>
        <v>140.985</v>
      </c>
      <c r="R53" t="str">
        <f t="shared" si="3"/>
        <v>loss</v>
      </c>
      <c r="S53">
        <f t="shared" si="4"/>
        <v>-818.5</v>
      </c>
      <c r="T53" t="str">
        <f t="shared" si="5"/>
        <v>win</v>
      </c>
      <c r="U53">
        <f t="shared" si="6"/>
        <v>-917</v>
      </c>
      <c r="V53">
        <f t="shared" si="7"/>
        <v>98.5000000000002</v>
      </c>
      <c r="X53">
        <f t="shared" ref="X53:X60" si="12">F53</f>
        <v>136.22</v>
      </c>
      <c r="Y53">
        <v>140</v>
      </c>
      <c r="Z53">
        <v>0.985</v>
      </c>
      <c r="AA53">
        <f t="shared" si="10"/>
        <v>135.235</v>
      </c>
      <c r="AB53">
        <f t="shared" si="11"/>
        <v>140.985</v>
      </c>
    </row>
    <row r="54" spans="1:28">
      <c r="A54" t="s">
        <v>119</v>
      </c>
      <c r="B54" t="s">
        <v>113</v>
      </c>
      <c r="C54" t="s">
        <v>114</v>
      </c>
      <c r="D54" s="6">
        <v>40695</v>
      </c>
      <c r="E54" s="12">
        <v>0.395833333333333</v>
      </c>
      <c r="F54">
        <v>131.87</v>
      </c>
      <c r="G54" s="6">
        <v>40725</v>
      </c>
      <c r="H54" s="12">
        <v>0.395833333333333</v>
      </c>
      <c r="I54" s="7">
        <v>133.92</v>
      </c>
      <c r="J54" t="s">
        <v>94</v>
      </c>
      <c r="K54">
        <v>278.5</v>
      </c>
      <c r="L54" s="7">
        <v>13113.5</v>
      </c>
      <c r="M54" s="19">
        <v>0.02</v>
      </c>
      <c r="N54" s="8">
        <f t="shared" si="1"/>
        <v>262.27</v>
      </c>
      <c r="O54" s="9">
        <f t="shared" si="2"/>
        <v>0.0212376558508407</v>
      </c>
      <c r="P54">
        <f t="shared" si="8"/>
        <v>131.135</v>
      </c>
      <c r="Q54">
        <f t="shared" si="9"/>
        <v>135.735</v>
      </c>
      <c r="R54" t="str">
        <f t="shared" si="3"/>
        <v>win</v>
      </c>
      <c r="S54">
        <f t="shared" si="4"/>
        <v>278.5</v>
      </c>
      <c r="T54" t="str">
        <f t="shared" si="5"/>
        <v>win</v>
      </c>
      <c r="U54">
        <f t="shared" si="6"/>
        <v>204.999999999998</v>
      </c>
      <c r="V54">
        <f t="shared" si="7"/>
        <v>73.5000000000017</v>
      </c>
      <c r="X54">
        <f t="shared" si="12"/>
        <v>131.87</v>
      </c>
      <c r="Y54">
        <v>135</v>
      </c>
      <c r="Z54">
        <v>0.735</v>
      </c>
      <c r="AA54">
        <f t="shared" si="10"/>
        <v>131.135</v>
      </c>
      <c r="AB54">
        <f t="shared" si="11"/>
        <v>135.735</v>
      </c>
    </row>
    <row r="55" spans="1:28">
      <c r="A55" t="s">
        <v>120</v>
      </c>
      <c r="B55" t="s">
        <v>113</v>
      </c>
      <c r="C55" t="s">
        <v>114</v>
      </c>
      <c r="D55" s="6">
        <v>40725</v>
      </c>
      <c r="E55" s="12">
        <v>0.395833333333333</v>
      </c>
      <c r="F55">
        <v>133.92</v>
      </c>
      <c r="G55" s="6">
        <v>40775</v>
      </c>
      <c r="H55" s="12">
        <v>0.395833333333333</v>
      </c>
      <c r="I55" s="7">
        <v>112.64</v>
      </c>
      <c r="J55" t="s">
        <v>94</v>
      </c>
      <c r="K55">
        <v>-2030.5</v>
      </c>
      <c r="L55" s="7">
        <v>13294.5</v>
      </c>
      <c r="M55" s="19">
        <v>0.02</v>
      </c>
      <c r="N55" s="8">
        <f t="shared" si="1"/>
        <v>265.89</v>
      </c>
      <c r="O55" s="9">
        <f t="shared" si="2"/>
        <v>-0.152732332919628</v>
      </c>
      <c r="P55">
        <f t="shared" si="8"/>
        <v>132.945</v>
      </c>
      <c r="Q55">
        <f t="shared" si="9"/>
        <v>138.975</v>
      </c>
      <c r="R55" t="str">
        <f t="shared" si="3"/>
        <v>loss</v>
      </c>
      <c r="S55">
        <f t="shared" si="4"/>
        <v>-2030.5</v>
      </c>
      <c r="T55" t="str">
        <f t="shared" si="5"/>
        <v>win</v>
      </c>
      <c r="U55">
        <f t="shared" si="6"/>
        <v>-2128</v>
      </c>
      <c r="V55">
        <f t="shared" si="7"/>
        <v>97.4999999999986</v>
      </c>
      <c r="X55">
        <f t="shared" si="12"/>
        <v>133.92</v>
      </c>
      <c r="Y55">
        <v>138</v>
      </c>
      <c r="Z55">
        <v>0.975</v>
      </c>
      <c r="AA55">
        <f t="shared" si="10"/>
        <v>132.945</v>
      </c>
      <c r="AB55">
        <f t="shared" si="11"/>
        <v>138.975</v>
      </c>
    </row>
    <row r="56" spans="1:28">
      <c r="A56" t="s">
        <v>121</v>
      </c>
      <c r="B56" t="s">
        <v>113</v>
      </c>
      <c r="C56" t="s">
        <v>114</v>
      </c>
      <c r="D56" s="6">
        <v>40756</v>
      </c>
      <c r="E56" s="12">
        <v>0.395833333333333</v>
      </c>
      <c r="F56">
        <v>128.78</v>
      </c>
      <c r="G56" s="6">
        <v>40803</v>
      </c>
      <c r="H56" s="12">
        <v>0.395833333333333</v>
      </c>
      <c r="I56" s="7">
        <v>121.53</v>
      </c>
      <c r="J56" t="s">
        <v>94</v>
      </c>
      <c r="K56">
        <v>-616</v>
      </c>
      <c r="L56" s="7">
        <v>12769</v>
      </c>
      <c r="M56" s="19">
        <v>0.02</v>
      </c>
      <c r="N56" s="8">
        <f t="shared" si="1"/>
        <v>255.38</v>
      </c>
      <c r="O56" s="9">
        <f t="shared" si="2"/>
        <v>-0.0482418356958258</v>
      </c>
      <c r="P56">
        <f t="shared" si="8"/>
        <v>127.69</v>
      </c>
      <c r="Q56">
        <f t="shared" si="9"/>
        <v>135.09</v>
      </c>
      <c r="R56" t="str">
        <f t="shared" si="3"/>
        <v>loss</v>
      </c>
      <c r="S56">
        <f t="shared" si="4"/>
        <v>-616</v>
      </c>
      <c r="T56" t="str">
        <f t="shared" si="5"/>
        <v>win</v>
      </c>
      <c r="U56">
        <f t="shared" si="6"/>
        <v>-725</v>
      </c>
      <c r="V56">
        <f t="shared" si="7"/>
        <v>109</v>
      </c>
      <c r="X56">
        <f t="shared" si="12"/>
        <v>128.78</v>
      </c>
      <c r="Y56">
        <v>134</v>
      </c>
      <c r="Z56">
        <v>1.09</v>
      </c>
      <c r="AA56">
        <f t="shared" si="10"/>
        <v>127.69</v>
      </c>
      <c r="AB56">
        <f t="shared" si="11"/>
        <v>135.09</v>
      </c>
    </row>
    <row r="57" spans="1:28">
      <c r="A57" t="s">
        <v>122</v>
      </c>
      <c r="B57" t="s">
        <v>113</v>
      </c>
      <c r="C57" t="s">
        <v>114</v>
      </c>
      <c r="D57" s="6">
        <v>40787</v>
      </c>
      <c r="E57" s="12">
        <v>0.395833333333333</v>
      </c>
      <c r="F57">
        <v>120.94</v>
      </c>
      <c r="G57" s="6">
        <v>40803</v>
      </c>
      <c r="H57" s="12">
        <v>0.395833333333333</v>
      </c>
      <c r="I57" s="7">
        <v>113.15</v>
      </c>
      <c r="J57" t="s">
        <v>94</v>
      </c>
      <c r="K57">
        <v>-658</v>
      </c>
      <c r="L57" s="7">
        <v>11973</v>
      </c>
      <c r="M57" s="19">
        <v>0.02</v>
      </c>
      <c r="N57" s="8">
        <f t="shared" si="1"/>
        <v>239.46</v>
      </c>
      <c r="O57" s="9">
        <f t="shared" si="2"/>
        <v>-0.0549569865530778</v>
      </c>
      <c r="P57">
        <f t="shared" si="8"/>
        <v>119.73</v>
      </c>
      <c r="Q57">
        <f t="shared" si="9"/>
        <v>127.21</v>
      </c>
      <c r="R57" t="str">
        <f t="shared" si="3"/>
        <v>loss</v>
      </c>
      <c r="S57">
        <f t="shared" si="4"/>
        <v>-658</v>
      </c>
      <c r="T57" t="str">
        <f t="shared" si="5"/>
        <v>win</v>
      </c>
      <c r="U57">
        <f t="shared" si="6"/>
        <v>-778.999999999999</v>
      </c>
      <c r="V57">
        <f t="shared" si="7"/>
        <v>120.999999999999</v>
      </c>
      <c r="X57">
        <f t="shared" si="12"/>
        <v>120.94</v>
      </c>
      <c r="Y57">
        <v>126</v>
      </c>
      <c r="Z57">
        <v>1.21</v>
      </c>
      <c r="AA57">
        <f t="shared" si="10"/>
        <v>119.73</v>
      </c>
      <c r="AB57">
        <f t="shared" si="11"/>
        <v>127.21</v>
      </c>
    </row>
    <row r="58" spans="1:28">
      <c r="A58" t="s">
        <v>123</v>
      </c>
      <c r="B58" t="s">
        <v>113</v>
      </c>
      <c r="C58" t="s">
        <v>114</v>
      </c>
      <c r="D58" s="6">
        <v>40817</v>
      </c>
      <c r="E58" s="12">
        <v>0.395833333333333</v>
      </c>
      <c r="F58">
        <v>113.15</v>
      </c>
      <c r="G58" s="6">
        <v>40865</v>
      </c>
      <c r="H58" s="12">
        <v>0.395833333333333</v>
      </c>
      <c r="I58" s="7">
        <v>121.979</v>
      </c>
      <c r="J58" t="s">
        <v>94</v>
      </c>
      <c r="K58">
        <v>1061.9</v>
      </c>
      <c r="L58" s="7">
        <v>11136</v>
      </c>
      <c r="M58" s="19">
        <v>0.02</v>
      </c>
      <c r="N58" s="8">
        <f t="shared" si="1"/>
        <v>222.72</v>
      </c>
      <c r="O58" s="9">
        <f t="shared" si="2"/>
        <v>0.0953573994252874</v>
      </c>
      <c r="P58">
        <f t="shared" si="8"/>
        <v>111.36</v>
      </c>
      <c r="Q58">
        <f t="shared" si="9"/>
        <v>124.79</v>
      </c>
      <c r="R58" t="str">
        <f t="shared" si="3"/>
        <v>win</v>
      </c>
      <c r="S58">
        <f t="shared" si="4"/>
        <v>1061.9</v>
      </c>
      <c r="T58" t="str">
        <f t="shared" si="5"/>
        <v>win</v>
      </c>
      <c r="U58">
        <f t="shared" si="6"/>
        <v>882.899999999999</v>
      </c>
      <c r="V58">
        <f t="shared" si="7"/>
        <v>179.000000000001</v>
      </c>
      <c r="X58">
        <f t="shared" si="12"/>
        <v>113.15</v>
      </c>
      <c r="Y58">
        <v>123</v>
      </c>
      <c r="Z58">
        <v>1.79</v>
      </c>
      <c r="AA58">
        <f t="shared" si="10"/>
        <v>111.36</v>
      </c>
      <c r="AB58">
        <f t="shared" si="11"/>
        <v>124.79</v>
      </c>
    </row>
    <row r="59" spans="1:28">
      <c r="A59" t="s">
        <v>124</v>
      </c>
      <c r="B59" t="s">
        <v>113</v>
      </c>
      <c r="C59" t="s">
        <v>114</v>
      </c>
      <c r="D59" s="6">
        <v>40848</v>
      </c>
      <c r="E59" s="12">
        <v>0.395833333333333</v>
      </c>
      <c r="F59">
        <v>121.58</v>
      </c>
      <c r="G59" s="6">
        <v>40893</v>
      </c>
      <c r="H59" s="12">
        <v>0.395833333333333</v>
      </c>
      <c r="I59" s="7">
        <v>121.59</v>
      </c>
      <c r="J59" t="s">
        <v>94</v>
      </c>
      <c r="K59">
        <v>111.3</v>
      </c>
      <c r="L59" s="7">
        <v>12047.7</v>
      </c>
      <c r="M59" s="19">
        <v>0.02</v>
      </c>
      <c r="N59" s="8">
        <f t="shared" si="1"/>
        <v>240.954</v>
      </c>
      <c r="O59" s="9">
        <f t="shared" si="2"/>
        <v>0.00923827784556388</v>
      </c>
      <c r="P59">
        <f t="shared" si="8"/>
        <v>120.055</v>
      </c>
      <c r="Q59">
        <f t="shared" si="9"/>
        <v>131.525</v>
      </c>
      <c r="R59" t="str">
        <f t="shared" si="3"/>
        <v>win</v>
      </c>
      <c r="S59">
        <f t="shared" si="4"/>
        <v>111.3</v>
      </c>
      <c r="T59" t="str">
        <f t="shared" si="5"/>
        <v>win</v>
      </c>
      <c r="U59">
        <f t="shared" si="6"/>
        <v>1.00000000000051</v>
      </c>
      <c r="V59">
        <f t="shared" si="7"/>
        <v>110.299999999999</v>
      </c>
      <c r="X59">
        <f t="shared" si="12"/>
        <v>121.58</v>
      </c>
      <c r="Y59">
        <v>130</v>
      </c>
      <c r="Z59">
        <v>1.525</v>
      </c>
      <c r="AA59">
        <f t="shared" si="10"/>
        <v>120.055</v>
      </c>
      <c r="AB59">
        <f t="shared" si="11"/>
        <v>131.525</v>
      </c>
    </row>
    <row r="60" spans="1:28">
      <c r="A60" t="s">
        <v>124</v>
      </c>
      <c r="B60" t="s">
        <v>113</v>
      </c>
      <c r="C60" t="s">
        <v>114</v>
      </c>
      <c r="D60" s="6">
        <v>40878</v>
      </c>
      <c r="E60" s="12">
        <v>0.395833333333333</v>
      </c>
      <c r="F60">
        <v>124.97</v>
      </c>
      <c r="G60" s="6">
        <v>40907</v>
      </c>
      <c r="H60" s="12">
        <v>0.395833333333333</v>
      </c>
      <c r="I60" s="7">
        <v>125.5</v>
      </c>
      <c r="J60" t="s">
        <v>94</v>
      </c>
      <c r="K60">
        <v>147</v>
      </c>
      <c r="L60" s="7">
        <v>12403</v>
      </c>
      <c r="M60" s="19">
        <v>0.02</v>
      </c>
      <c r="N60" s="8">
        <f t="shared" si="1"/>
        <v>248.06</v>
      </c>
      <c r="O60" s="9">
        <f t="shared" si="2"/>
        <v>0.0118519712972668</v>
      </c>
      <c r="P60">
        <f t="shared" si="8"/>
        <v>124.03</v>
      </c>
      <c r="Q60">
        <f t="shared" si="9"/>
        <v>130.94</v>
      </c>
      <c r="R60" t="str">
        <f t="shared" si="3"/>
        <v>win</v>
      </c>
      <c r="S60">
        <f t="shared" si="4"/>
        <v>147</v>
      </c>
      <c r="T60" t="str">
        <f t="shared" si="5"/>
        <v>win</v>
      </c>
      <c r="U60">
        <f t="shared" si="6"/>
        <v>53.0000000000001</v>
      </c>
      <c r="V60">
        <f t="shared" si="7"/>
        <v>93.9999999999999</v>
      </c>
      <c r="X60">
        <f t="shared" si="12"/>
        <v>124.97</v>
      </c>
      <c r="Y60">
        <v>130</v>
      </c>
      <c r="Z60">
        <v>0.94</v>
      </c>
      <c r="AA60">
        <f t="shared" si="10"/>
        <v>124.03</v>
      </c>
      <c r="AB60">
        <f t="shared" si="11"/>
        <v>130.94</v>
      </c>
    </row>
    <row r="61" spans="15:15">
      <c r="O61" s="23"/>
    </row>
    <row r="62" spans="1:17">
      <c r="A62" t="s">
        <v>13</v>
      </c>
      <c r="B62" t="s">
        <v>12</v>
      </c>
      <c r="C62" t="s">
        <v>36</v>
      </c>
      <c r="D62" t="s">
        <v>37</v>
      </c>
      <c r="E62" t="s">
        <v>38</v>
      </c>
      <c r="F62" t="s">
        <v>39</v>
      </c>
      <c r="G62" t="s">
        <v>2</v>
      </c>
      <c r="H62" t="s">
        <v>8</v>
      </c>
      <c r="I62" t="s">
        <v>18</v>
      </c>
      <c r="J62" t="s">
        <v>4</v>
      </c>
      <c r="K62" t="s">
        <v>19</v>
      </c>
      <c r="L62" t="s">
        <v>20</v>
      </c>
      <c r="M62" t="s">
        <v>21</v>
      </c>
      <c r="N62" t="s">
        <v>27</v>
      </c>
      <c r="O62" t="s">
        <v>28</v>
      </c>
      <c r="P62" t="s">
        <v>29</v>
      </c>
      <c r="Q62" t="s">
        <v>40</v>
      </c>
    </row>
    <row r="63" spans="2:13">
      <c r="B63" t="s">
        <v>43</v>
      </c>
      <c r="C63" s="6">
        <v>40422</v>
      </c>
      <c r="D63" s="7">
        <v>1.095</v>
      </c>
      <c r="E63" s="7">
        <v>-1</v>
      </c>
      <c r="F63" s="20">
        <f>D63*E63*100</f>
        <v>-109.5</v>
      </c>
      <c r="G63" s="20">
        <f>D64</f>
        <v>105.31</v>
      </c>
      <c r="H63" s="7">
        <v>111</v>
      </c>
      <c r="I63" s="7">
        <v>21.01</v>
      </c>
      <c r="J63" s="6">
        <v>40466</v>
      </c>
      <c r="K63" s="20">
        <f>J63-C63</f>
        <v>44</v>
      </c>
      <c r="L63" s="7" t="s">
        <v>32</v>
      </c>
      <c r="M63" s="7" t="s">
        <v>33</v>
      </c>
    </row>
    <row r="64" spans="2:9">
      <c r="B64" t="s">
        <v>34</v>
      </c>
      <c r="C64" s="21">
        <v>40422</v>
      </c>
      <c r="D64" s="7">
        <v>105.31</v>
      </c>
      <c r="E64" s="7">
        <v>100</v>
      </c>
      <c r="F64" s="20">
        <f>D64*E64</f>
        <v>10531</v>
      </c>
      <c r="G64" s="7"/>
      <c r="H64" s="7"/>
      <c r="I64" s="7"/>
    </row>
    <row r="65" spans="2:17">
      <c r="B65" t="s">
        <v>52</v>
      </c>
      <c r="C65" s="21">
        <v>40422</v>
      </c>
      <c r="D65" s="7"/>
      <c r="E65" s="7"/>
      <c r="F65" s="20">
        <f>F64+F63</f>
        <v>10421.5</v>
      </c>
      <c r="G65" s="7"/>
      <c r="H65" s="7"/>
      <c r="I65" s="7"/>
      <c r="N65" s="20">
        <f>H63-G63+D63</f>
        <v>6.785</v>
      </c>
      <c r="O65" s="7">
        <v>0</v>
      </c>
      <c r="P65" s="20">
        <f>G63-D63</f>
        <v>104.215</v>
      </c>
      <c r="Q65" s="20">
        <f>H63+D63</f>
        <v>112.095</v>
      </c>
    </row>
    <row r="66" spans="1:15">
      <c r="A66" t="s">
        <v>86</v>
      </c>
      <c r="C66" s="6"/>
      <c r="F66" s="19"/>
      <c r="J66" s="22" t="s">
        <v>91</v>
      </c>
      <c r="O66" s="23"/>
    </row>
    <row r="67" customFormat="1" spans="1:15">
      <c r="A67" t="s">
        <v>87</v>
      </c>
      <c r="B67" s="8">
        <f>J65-J64</f>
        <v>0</v>
      </c>
      <c r="J67" s="22" t="s">
        <v>92</v>
      </c>
      <c r="K67"/>
      <c r="L67"/>
      <c r="M67"/>
      <c r="N67"/>
      <c r="O67" s="23"/>
    </row>
    <row r="68" customFormat="1" spans="2:15">
      <c r="B68" s="6" t="s">
        <v>88</v>
      </c>
      <c r="C68" s="7" t="s">
        <v>86</v>
      </c>
      <c r="D68" s="7" t="s">
        <v>45</v>
      </c>
      <c r="E68" t="s">
        <v>89</v>
      </c>
      <c r="F68" s="7" t="s">
        <v>87</v>
      </c>
      <c r="G68"/>
      <c r="H68"/>
      <c r="I68"/>
      <c r="J68" s="22" t="s">
        <v>93</v>
      </c>
      <c r="K68"/>
      <c r="L68"/>
      <c r="M68"/>
      <c r="N68"/>
      <c r="O68" s="23"/>
    </row>
    <row r="69" customFormat="1" spans="1:27">
      <c r="A69" t="s">
        <v>90</v>
      </c>
      <c r="B69">
        <v>134.53</v>
      </c>
      <c r="C69">
        <f>B69-E63</f>
        <v>135.53</v>
      </c>
      <c r="D69" s="8" t="e">
        <f>-MAX(B69-L62,0)</f>
        <v>#VALUE!</v>
      </c>
      <c r="E69" s="8" t="str">
        <f>H62</f>
        <v>K</v>
      </c>
      <c r="F69" s="8" t="e">
        <f>C69+D69+E69</f>
        <v>#VALUE!</v>
      </c>
      <c r="J69" s="22" t="s">
        <v>94</v>
      </c>
      <c r="K69"/>
      <c r="L69"/>
      <c r="M69" t="s">
        <v>126</v>
      </c>
      <c r="N69" t="s">
        <v>127</v>
      </c>
      <c r="O69" s="23"/>
      <c r="P69"/>
      <c r="Q69"/>
      <c r="R69"/>
      <c r="S69"/>
      <c r="T69"/>
      <c r="U69"/>
      <c r="V69"/>
      <c r="X69" t="s">
        <v>128</v>
      </c>
      <c r="Y69" t="s">
        <v>129</v>
      </c>
      <c r="Z69" t="s">
        <v>130</v>
      </c>
      <c r="AA69" t="s">
        <v>131</v>
      </c>
    </row>
    <row r="70" customFormat="1" spans="15:15">
      <c r="O70" s="23"/>
    </row>
    <row r="71" s="18" customFormat="1" ht="42.75" spans="1:28">
      <c r="A71" s="24" t="s">
        <v>98</v>
      </c>
      <c r="B71" s="25" t="s">
        <v>132</v>
      </c>
      <c r="C71" s="25" t="s">
        <v>133</v>
      </c>
      <c r="D71" s="26" t="s">
        <v>134</v>
      </c>
      <c r="E71" s="25" t="s">
        <v>135</v>
      </c>
      <c r="F71" s="26" t="s">
        <v>136</v>
      </c>
      <c r="G71" s="26" t="s">
        <v>137</v>
      </c>
      <c r="H71" s="25" t="s">
        <v>135</v>
      </c>
      <c r="I71" s="24" t="s">
        <v>138</v>
      </c>
      <c r="J71" s="32" t="s">
        <v>139</v>
      </c>
      <c r="K71" s="18" t="s">
        <v>87</v>
      </c>
      <c r="L71" s="26" t="s">
        <v>140</v>
      </c>
      <c r="M71" s="32" t="s">
        <v>105</v>
      </c>
      <c r="N71" s="32" t="s">
        <v>28</v>
      </c>
      <c r="O71" s="26" t="s">
        <v>141</v>
      </c>
      <c r="P71" s="26" t="s">
        <v>142</v>
      </c>
      <c r="Q71" s="26" t="s">
        <v>143</v>
      </c>
      <c r="R71" s="26" t="s">
        <v>144</v>
      </c>
      <c r="S71" s="39" t="s">
        <v>145</v>
      </c>
      <c r="T71" s="26" t="s">
        <v>146</v>
      </c>
      <c r="U71" s="26" t="s">
        <v>147</v>
      </c>
      <c r="V71" s="26" t="s">
        <v>148</v>
      </c>
      <c r="X71" s="18" t="s">
        <v>2</v>
      </c>
      <c r="Y71" s="18" t="s">
        <v>8</v>
      </c>
      <c r="Z71" s="18" t="s">
        <v>111</v>
      </c>
      <c r="AA71" s="18" t="s">
        <v>54</v>
      </c>
      <c r="AB71" s="18" t="s">
        <v>55</v>
      </c>
    </row>
    <row r="72" customFormat="1" spans="1:22">
      <c r="A72" s="27" t="s">
        <v>149</v>
      </c>
      <c r="B72" s="28" t="s">
        <v>150</v>
      </c>
      <c r="C72" s="28" t="s">
        <v>114</v>
      </c>
      <c r="D72" s="29">
        <f>C63</f>
        <v>40422</v>
      </c>
      <c r="E72" s="30">
        <v>0.395833333333333</v>
      </c>
      <c r="F72" s="31">
        <f>D64</f>
        <v>105.31</v>
      </c>
      <c r="G72" s="29">
        <f>J63</f>
        <v>40466</v>
      </c>
      <c r="H72" s="30">
        <v>0.395833333333333</v>
      </c>
      <c r="I72" s="33">
        <v>117.7</v>
      </c>
      <c r="J72" s="34" t="s">
        <v>94</v>
      </c>
      <c r="K72">
        <v>577</v>
      </c>
      <c r="L72" s="35">
        <f>F65</f>
        <v>10421.5</v>
      </c>
      <c r="M72" s="36">
        <v>0.02</v>
      </c>
      <c r="N72" s="37">
        <f>M72*L72</f>
        <v>208.43</v>
      </c>
      <c r="O72" s="38">
        <f>K72/L72</f>
        <v>0.0553663100321451</v>
      </c>
      <c r="P72" s="31">
        <f>D64-D63</f>
        <v>104.215</v>
      </c>
      <c r="Q72" s="31">
        <f>H63+D63</f>
        <v>112.095</v>
      </c>
      <c r="R72" s="31" t="str">
        <f>IF(OR(I72&gt;Q72,I72&lt;P72),"loss","win")</f>
        <v>loss</v>
      </c>
      <c r="S72" s="40">
        <f>K72</f>
        <v>577</v>
      </c>
      <c r="T72" s="31" t="str">
        <f>IF(V72&lt;0,"loss","win")</f>
        <v>loss</v>
      </c>
      <c r="U72" s="31">
        <f>(I72-F72)*100</f>
        <v>1239</v>
      </c>
      <c r="V72" s="31">
        <f>S72-U72</f>
        <v>-662</v>
      </c>
    </row>
    <row r="74" spans="20:22">
      <c r="T74" t="s">
        <v>63</v>
      </c>
      <c r="U74" t="s">
        <v>58</v>
      </c>
      <c r="V74" t="s">
        <v>64</v>
      </c>
    </row>
    <row r="75" spans="18:22">
      <c r="R75" t="s">
        <v>65</v>
      </c>
      <c r="S75" t="s">
        <v>62</v>
      </c>
      <c r="T75" s="41">
        <f>6/12</f>
        <v>0.5</v>
      </c>
      <c r="U75" s="8">
        <f>AVERAGE(S51,S52,S54,S58:S60)</f>
        <v>346.7</v>
      </c>
      <c r="V75" s="8">
        <f t="shared" ref="V75:V78" si="13">T75*U75</f>
        <v>173.35</v>
      </c>
    </row>
    <row r="76" spans="19:23">
      <c r="S76" t="s">
        <v>61</v>
      </c>
      <c r="T76" s="41">
        <f>6/12</f>
        <v>0.5</v>
      </c>
      <c r="U76" s="8">
        <f>AVERAGE(S49:S50,S53,S55:S57)</f>
        <v>-622.166666666667</v>
      </c>
      <c r="V76" s="8">
        <f t="shared" si="13"/>
        <v>-311.083333333333</v>
      </c>
      <c r="W76" s="8">
        <f>V76+V75</f>
        <v>-137.733333333333</v>
      </c>
    </row>
    <row r="77" spans="18:22">
      <c r="R77" t="s">
        <v>125</v>
      </c>
      <c r="S77" t="s">
        <v>62</v>
      </c>
      <c r="T77" s="41">
        <f>11/12</f>
        <v>0.916666666666667</v>
      </c>
      <c r="U77" s="8">
        <f>AVERAGE(V50:V60)</f>
        <v>109.754545454545</v>
      </c>
      <c r="V77" s="8">
        <f t="shared" si="13"/>
        <v>100.608333333333</v>
      </c>
    </row>
    <row r="78" spans="19:23">
      <c r="S78" t="s">
        <v>61</v>
      </c>
      <c r="T78" s="41">
        <f>1/12</f>
        <v>0.0833333333333333</v>
      </c>
      <c r="U78" s="8">
        <f>V49</f>
        <v>-171</v>
      </c>
      <c r="V78" s="8">
        <f t="shared" si="13"/>
        <v>-14.25</v>
      </c>
      <c r="W78" s="8">
        <f>V78+V77</f>
        <v>86.3583333333332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9"/>
  <sheetViews>
    <sheetView topLeftCell="A2" workbookViewId="0">
      <selection activeCell="L156" sqref="L156"/>
    </sheetView>
  </sheetViews>
  <sheetFormatPr defaultColWidth="9" defaultRowHeight="14.25"/>
  <cols>
    <col min="1" max="1" width="13.7083333333333" customWidth="1"/>
    <col min="2" max="2" width="14.5666666666667" customWidth="1"/>
    <col min="3" max="3" width="12.7083333333333" customWidth="1"/>
    <col min="7" max="7" width="10.425" customWidth="1"/>
    <col min="9" max="9" width="10.7083333333333" customWidth="1"/>
    <col min="12" max="12" width="10.425" customWidth="1"/>
    <col min="17" max="17" width="10" customWidth="1"/>
    <col min="18" max="18" width="10.1416666666667" customWidth="1"/>
  </cols>
  <sheetData>
    <row r="1" ht="15" spans="1:3">
      <c r="A1" s="1">
        <v>3</v>
      </c>
      <c r="B1" s="3" t="s">
        <v>151</v>
      </c>
      <c r="C1" s="3" t="s">
        <v>4</v>
      </c>
    </row>
    <row r="2" ht="210" spans="6:6">
      <c r="F2" s="16" t="s">
        <v>152</v>
      </c>
    </row>
    <row r="4" spans="2:6">
      <c r="B4" s="4" t="s">
        <v>153</v>
      </c>
      <c r="F4" t="s">
        <v>154</v>
      </c>
    </row>
    <row r="6" spans="2:2">
      <c r="B6" s="4"/>
    </row>
    <row r="7" spans="2:2">
      <c r="B7" s="4"/>
    </row>
    <row r="8" spans="2:2">
      <c r="B8" s="4" t="s">
        <v>155</v>
      </c>
    </row>
    <row r="9" spans="2:5">
      <c r="B9" s="4" t="s">
        <v>3</v>
      </c>
      <c r="E9" t="s">
        <v>156</v>
      </c>
    </row>
    <row r="10" spans="2:2">
      <c r="B10" s="4"/>
    </row>
    <row r="15" spans="2:2">
      <c r="B15" t="s">
        <v>157</v>
      </c>
    </row>
    <row r="16" spans="2:3">
      <c r="B16" t="s">
        <v>2</v>
      </c>
      <c r="C16" t="s">
        <v>3</v>
      </c>
    </row>
    <row r="17" spans="2:3">
      <c r="B17" t="s">
        <v>4</v>
      </c>
      <c r="C17" t="s">
        <v>158</v>
      </c>
    </row>
    <row r="18" spans="2:3">
      <c r="B18" t="s">
        <v>6</v>
      </c>
      <c r="C18" t="s">
        <v>7</v>
      </c>
    </row>
    <row r="19" spans="2:3">
      <c r="B19" t="s">
        <v>8</v>
      </c>
      <c r="C19" t="s">
        <v>79</v>
      </c>
    </row>
    <row r="21" spans="2:2">
      <c r="B21" t="s">
        <v>159</v>
      </c>
    </row>
    <row r="22" spans="2:2">
      <c r="B22" s="6">
        <v>40933</v>
      </c>
    </row>
    <row r="23" spans="2:2">
      <c r="B23" s="6">
        <v>40981</v>
      </c>
    </row>
    <row r="24" spans="2:2">
      <c r="B24" s="6">
        <v>41024</v>
      </c>
    </row>
    <row r="25" spans="2:2">
      <c r="B25" s="6">
        <v>41080</v>
      </c>
    </row>
    <row r="26" spans="2:2">
      <c r="B26" s="6">
        <v>41121</v>
      </c>
    </row>
    <row r="27" spans="2:2">
      <c r="B27" s="6">
        <v>41165</v>
      </c>
    </row>
    <row r="28" spans="2:2">
      <c r="B28" s="6">
        <v>41206</v>
      </c>
    </row>
    <row r="29" spans="2:2">
      <c r="B29" s="6">
        <v>41255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  <row r="39" spans="2:3">
      <c r="B39" t="s">
        <v>101</v>
      </c>
      <c r="C39" t="s">
        <v>161</v>
      </c>
    </row>
    <row r="40" spans="2:3">
      <c r="B40" s="6">
        <v>40897</v>
      </c>
      <c r="C40" s="6">
        <v>40929</v>
      </c>
    </row>
    <row r="43" spans="1:1">
      <c r="A43" t="s">
        <v>95</v>
      </c>
    </row>
    <row r="44" spans="1:9">
      <c r="A44" t="s">
        <v>96</v>
      </c>
      <c r="D44" t="s">
        <v>83</v>
      </c>
      <c r="G44" t="s">
        <v>83</v>
      </c>
      <c r="I44" t="s">
        <v>90</v>
      </c>
    </row>
    <row r="45" spans="1:19">
      <c r="A45" t="s">
        <v>98</v>
      </c>
      <c r="B45" t="s">
        <v>99</v>
      </c>
      <c r="C45" t="s">
        <v>100</v>
      </c>
      <c r="D45" t="s">
        <v>88</v>
      </c>
      <c r="E45" t="s">
        <v>8</v>
      </c>
      <c r="F45" t="s">
        <v>111</v>
      </c>
      <c r="G45" t="s">
        <v>101</v>
      </c>
      <c r="H45" t="s">
        <v>102</v>
      </c>
      <c r="I45" t="s">
        <v>36</v>
      </c>
      <c r="J45" t="s">
        <v>102</v>
      </c>
      <c r="K45" t="s">
        <v>107</v>
      </c>
      <c r="L45" t="s">
        <v>88</v>
      </c>
      <c r="M45" t="s">
        <v>108</v>
      </c>
      <c r="N45" t="s">
        <v>57</v>
      </c>
      <c r="O45" t="s">
        <v>87</v>
      </c>
      <c r="P45" t="s">
        <v>109</v>
      </c>
      <c r="Q45" t="s">
        <v>162</v>
      </c>
      <c r="R45" t="s">
        <v>163</v>
      </c>
      <c r="S45" t="s">
        <v>103</v>
      </c>
    </row>
    <row r="46" spans="1:19">
      <c r="A46" t="s">
        <v>164</v>
      </c>
      <c r="B46" t="s">
        <v>113</v>
      </c>
      <c r="C46" t="s">
        <v>114</v>
      </c>
      <c r="D46" s="5">
        <v>123.93</v>
      </c>
      <c r="E46" s="5">
        <v>129</v>
      </c>
      <c r="F46" s="5">
        <v>0.92</v>
      </c>
      <c r="G46" s="13">
        <v>40897</v>
      </c>
      <c r="H46" s="12">
        <v>0.395833333333333</v>
      </c>
      <c r="I46" s="13">
        <v>40929</v>
      </c>
      <c r="J46" s="12">
        <v>0.395833333333333</v>
      </c>
      <c r="K46">
        <f>D46-F46</f>
        <v>123.01</v>
      </c>
      <c r="L46" s="14">
        <v>131.54</v>
      </c>
      <c r="M46">
        <f>E46+F46</f>
        <v>129.92</v>
      </c>
      <c r="N46" t="str">
        <f>IF(OR(L46&gt;M46,L46&lt;K46),"loss","win")</f>
        <v>loss</v>
      </c>
      <c r="O46" s="5">
        <v>599</v>
      </c>
      <c r="P46" t="str">
        <f>IF(R46&lt;0,"loss","win")</f>
        <v>loss</v>
      </c>
      <c r="Q46" s="8">
        <f>(L46-D46)*100</f>
        <v>760.999999999999</v>
      </c>
      <c r="R46" s="8">
        <f>O46-Q46</f>
        <v>-161.999999999999</v>
      </c>
      <c r="S46" t="s">
        <v>94</v>
      </c>
    </row>
    <row r="47" spans="1:19">
      <c r="A47" t="s">
        <v>165</v>
      </c>
      <c r="B47" t="s">
        <v>113</v>
      </c>
      <c r="C47" t="s">
        <v>114</v>
      </c>
      <c r="D47" s="5">
        <v>131.54</v>
      </c>
      <c r="E47" s="5">
        <v>135</v>
      </c>
      <c r="F47" s="5">
        <v>0.665</v>
      </c>
      <c r="G47" s="13">
        <v>40564</v>
      </c>
      <c r="H47" s="12">
        <v>0.395833333333333</v>
      </c>
      <c r="I47" s="13">
        <v>40957</v>
      </c>
      <c r="J47" s="12">
        <v>0.395833333333333</v>
      </c>
      <c r="K47">
        <f t="shared" ref="K47:K54" si="0">D47-F47</f>
        <v>130.875</v>
      </c>
      <c r="L47" s="14">
        <v>136.41</v>
      </c>
      <c r="M47">
        <f t="shared" ref="M47:M54" si="1">E47+F47</f>
        <v>135.665</v>
      </c>
      <c r="N47" t="str">
        <f t="shared" ref="N47:N54" si="2">IF(OR(L47&gt;M47,L47&lt;K47),"loss","win")</f>
        <v>loss</v>
      </c>
      <c r="O47" s="5">
        <v>412.5</v>
      </c>
      <c r="P47" t="str">
        <f t="shared" ref="P47:P54" si="3">IF(R47&lt;0,"loss","win")</f>
        <v>loss</v>
      </c>
      <c r="Q47" s="8">
        <f t="shared" ref="Q47:Q54" si="4">(L47-D47)*100</f>
        <v>487</v>
      </c>
      <c r="R47" s="8">
        <f t="shared" ref="R47:R54" si="5">O47-Q47</f>
        <v>-74.5000000000005</v>
      </c>
      <c r="S47" t="s">
        <v>94</v>
      </c>
    </row>
    <row r="48" spans="1:19">
      <c r="A48" t="s">
        <v>166</v>
      </c>
      <c r="B48" t="s">
        <v>113</v>
      </c>
      <c r="C48" t="s">
        <v>114</v>
      </c>
      <c r="D48" s="5">
        <v>136.41</v>
      </c>
      <c r="E48" s="5">
        <v>140</v>
      </c>
      <c r="F48" s="5">
        <v>0.61</v>
      </c>
      <c r="G48" s="13">
        <v>40957</v>
      </c>
      <c r="H48" s="12">
        <v>0.395833333333333</v>
      </c>
      <c r="I48" s="13">
        <v>40980</v>
      </c>
      <c r="J48" s="12">
        <v>0.395833333333333</v>
      </c>
      <c r="K48">
        <f t="shared" si="0"/>
        <v>135.8</v>
      </c>
      <c r="L48" s="14">
        <v>137.58</v>
      </c>
      <c r="M48">
        <f t="shared" si="1"/>
        <v>140.61</v>
      </c>
      <c r="N48" t="str">
        <f t="shared" si="2"/>
        <v>win</v>
      </c>
      <c r="O48" s="5">
        <v>171</v>
      </c>
      <c r="P48" t="str">
        <f t="shared" si="3"/>
        <v>win</v>
      </c>
      <c r="Q48" s="8">
        <f t="shared" si="4"/>
        <v>117.000000000002</v>
      </c>
      <c r="R48" s="8">
        <f t="shared" si="5"/>
        <v>53.9999999999984</v>
      </c>
      <c r="S48" t="s">
        <v>94</v>
      </c>
    </row>
    <row r="49" spans="1:19">
      <c r="A49" t="s">
        <v>167</v>
      </c>
      <c r="B49" t="s">
        <v>113</v>
      </c>
      <c r="C49" t="s">
        <v>114</v>
      </c>
      <c r="D49" s="5">
        <v>140.85</v>
      </c>
      <c r="E49" s="5">
        <v>144</v>
      </c>
      <c r="F49" s="5">
        <v>0.92</v>
      </c>
      <c r="G49" s="13">
        <v>40987</v>
      </c>
      <c r="H49" s="12">
        <v>0.395833333333333</v>
      </c>
      <c r="I49" s="13">
        <v>41020</v>
      </c>
      <c r="J49" s="12">
        <v>0.395833333333333</v>
      </c>
      <c r="K49">
        <f t="shared" si="0"/>
        <v>139.93</v>
      </c>
      <c r="L49" s="14">
        <v>137.95</v>
      </c>
      <c r="M49">
        <f t="shared" si="1"/>
        <v>144.92</v>
      </c>
      <c r="N49" t="str">
        <f t="shared" si="2"/>
        <v>loss</v>
      </c>
      <c r="O49" s="5">
        <v>-214.5</v>
      </c>
      <c r="P49" t="str">
        <f t="shared" si="3"/>
        <v>win</v>
      </c>
      <c r="Q49" s="8">
        <f t="shared" si="4"/>
        <v>-290.000000000001</v>
      </c>
      <c r="R49" s="8">
        <f t="shared" si="5"/>
        <v>75.5000000000006</v>
      </c>
      <c r="S49" t="s">
        <v>94</v>
      </c>
    </row>
    <row r="50" spans="1:19">
      <c r="A50" t="s">
        <v>168</v>
      </c>
      <c r="B50" t="s">
        <v>113</v>
      </c>
      <c r="C50" t="s">
        <v>114</v>
      </c>
      <c r="D50" s="5">
        <v>140.74</v>
      </c>
      <c r="E50" s="5">
        <v>145</v>
      </c>
      <c r="F50" s="5">
        <v>0.885</v>
      </c>
      <c r="G50" s="13">
        <v>41030</v>
      </c>
      <c r="H50" s="12">
        <v>0.395833333333333</v>
      </c>
      <c r="I50" s="13">
        <v>41075</v>
      </c>
      <c r="J50" s="12">
        <v>0.395833333333333</v>
      </c>
      <c r="K50">
        <f t="shared" si="0"/>
        <v>139.855</v>
      </c>
      <c r="L50" s="14">
        <v>134.14</v>
      </c>
      <c r="M50">
        <f t="shared" si="1"/>
        <v>145.885</v>
      </c>
      <c r="N50" t="str">
        <f t="shared" si="2"/>
        <v>loss</v>
      </c>
      <c r="O50" s="5">
        <v>-572</v>
      </c>
      <c r="P50" t="str">
        <f t="shared" si="3"/>
        <v>win</v>
      </c>
      <c r="Q50" s="8">
        <f t="shared" si="4"/>
        <v>-660.000000000002</v>
      </c>
      <c r="R50" s="8">
        <f t="shared" si="5"/>
        <v>88.0000000000023</v>
      </c>
      <c r="S50" t="s">
        <v>94</v>
      </c>
    </row>
    <row r="51" spans="1:19">
      <c r="A51" t="s">
        <v>169</v>
      </c>
      <c r="B51" t="s">
        <v>113</v>
      </c>
      <c r="C51" t="s">
        <v>114</v>
      </c>
      <c r="D51" s="5">
        <v>132.44</v>
      </c>
      <c r="E51" s="5">
        <v>137</v>
      </c>
      <c r="F51" s="5">
        <v>0.695</v>
      </c>
      <c r="G51" s="13">
        <v>41081</v>
      </c>
      <c r="H51" s="12">
        <v>0.395833333333333</v>
      </c>
      <c r="I51" s="13">
        <v>41111</v>
      </c>
      <c r="J51" s="12">
        <v>0.395833333333333</v>
      </c>
      <c r="K51">
        <f t="shared" si="0"/>
        <v>131.745</v>
      </c>
      <c r="L51" s="14">
        <v>136.47</v>
      </c>
      <c r="M51">
        <f t="shared" si="1"/>
        <v>137.695</v>
      </c>
      <c r="N51" t="str">
        <f t="shared" si="2"/>
        <v>win</v>
      </c>
      <c r="O51" s="5">
        <v>472.5</v>
      </c>
      <c r="P51" t="str">
        <f t="shared" si="3"/>
        <v>win</v>
      </c>
      <c r="Q51" s="8">
        <f t="shared" si="4"/>
        <v>403</v>
      </c>
      <c r="R51" s="8">
        <f t="shared" si="5"/>
        <v>69.4999999999999</v>
      </c>
      <c r="S51" t="s">
        <v>94</v>
      </c>
    </row>
    <row r="52" spans="1:19">
      <c r="A52" t="s">
        <v>170</v>
      </c>
      <c r="B52" t="s">
        <v>113</v>
      </c>
      <c r="C52" t="s">
        <v>114</v>
      </c>
      <c r="D52" s="5">
        <v>140.32</v>
      </c>
      <c r="E52" s="5">
        <v>145</v>
      </c>
      <c r="F52" s="5">
        <v>0.84</v>
      </c>
      <c r="G52" s="13">
        <v>41128</v>
      </c>
      <c r="H52" s="12">
        <v>0.395833333333333</v>
      </c>
      <c r="I52" s="13">
        <v>41164</v>
      </c>
      <c r="J52" s="12">
        <v>0.395833333333333</v>
      </c>
      <c r="K52">
        <f t="shared" si="0"/>
        <v>139.48</v>
      </c>
      <c r="L52" s="14">
        <v>144.39</v>
      </c>
      <c r="M52">
        <f t="shared" si="1"/>
        <v>145.84</v>
      </c>
      <c r="N52" t="str">
        <f t="shared" si="2"/>
        <v>win</v>
      </c>
      <c r="O52" s="5">
        <v>397</v>
      </c>
      <c r="P52" t="str">
        <f t="shared" si="3"/>
        <v>loss</v>
      </c>
      <c r="Q52" s="8">
        <f t="shared" si="4"/>
        <v>406.999999999999</v>
      </c>
      <c r="R52" s="8">
        <f t="shared" si="5"/>
        <v>-9.99999999999932</v>
      </c>
      <c r="S52" t="s">
        <v>94</v>
      </c>
    </row>
    <row r="53" spans="1:19">
      <c r="A53" t="s">
        <v>171</v>
      </c>
      <c r="B53" t="s">
        <v>113</v>
      </c>
      <c r="C53" t="s">
        <v>114</v>
      </c>
      <c r="D53" s="5">
        <v>145.645</v>
      </c>
      <c r="E53" s="5">
        <v>149</v>
      </c>
      <c r="F53" s="5">
        <v>0.435</v>
      </c>
      <c r="G53" s="13">
        <v>41176</v>
      </c>
      <c r="H53" s="12">
        <v>0.395833333333333</v>
      </c>
      <c r="I53" s="13">
        <v>41202</v>
      </c>
      <c r="J53" s="12">
        <v>0.395833333333333</v>
      </c>
      <c r="K53">
        <f t="shared" si="0"/>
        <v>145.21</v>
      </c>
      <c r="L53" s="14">
        <v>145.82</v>
      </c>
      <c r="M53">
        <f t="shared" si="1"/>
        <v>149.435</v>
      </c>
      <c r="N53" t="str">
        <f t="shared" si="2"/>
        <v>win</v>
      </c>
      <c r="O53" s="5">
        <v>61</v>
      </c>
      <c r="P53" t="str">
        <f t="shared" si="3"/>
        <v>win</v>
      </c>
      <c r="Q53" s="8">
        <f t="shared" si="4"/>
        <v>17.4999999999983</v>
      </c>
      <c r="R53" s="8">
        <f t="shared" si="5"/>
        <v>43.5000000000017</v>
      </c>
      <c r="S53" t="s">
        <v>94</v>
      </c>
    </row>
    <row r="54" spans="1:19">
      <c r="A54" t="s">
        <v>172</v>
      </c>
      <c r="B54" t="s">
        <v>113</v>
      </c>
      <c r="C54" t="s">
        <v>114</v>
      </c>
      <c r="D54" s="5">
        <v>142.96</v>
      </c>
      <c r="E54" s="5">
        <v>148</v>
      </c>
      <c r="F54" s="5">
        <v>0.9</v>
      </c>
      <c r="G54" s="13">
        <v>41219</v>
      </c>
      <c r="H54" s="12">
        <v>0.395833333333333</v>
      </c>
      <c r="I54" s="13">
        <v>41255</v>
      </c>
      <c r="J54" s="12">
        <v>0.395833333333333</v>
      </c>
      <c r="K54">
        <f t="shared" si="0"/>
        <v>142.06</v>
      </c>
      <c r="L54" s="14">
        <v>143.51</v>
      </c>
      <c r="M54">
        <f t="shared" si="1"/>
        <v>148.9</v>
      </c>
      <c r="N54" t="str">
        <f t="shared" si="2"/>
        <v>win</v>
      </c>
      <c r="O54" s="5">
        <v>138</v>
      </c>
      <c r="P54" t="str">
        <f t="shared" si="3"/>
        <v>win</v>
      </c>
      <c r="Q54" s="8">
        <f t="shared" si="4"/>
        <v>54.9999999999983</v>
      </c>
      <c r="R54" s="8">
        <f t="shared" si="5"/>
        <v>83.0000000000017</v>
      </c>
      <c r="S54" t="s">
        <v>94</v>
      </c>
    </row>
    <row r="69" spans="2:3">
      <c r="B69" t="s">
        <v>173</v>
      </c>
      <c r="C69" t="s">
        <v>174</v>
      </c>
    </row>
    <row r="70" spans="1:3">
      <c r="A70" s="6">
        <v>40878</v>
      </c>
      <c r="B70" s="7">
        <v>101.363945</v>
      </c>
      <c r="C70" s="7">
        <v>27.41</v>
      </c>
    </row>
    <row r="71" spans="1:3">
      <c r="A71" s="6">
        <v>40879</v>
      </c>
      <c r="B71" s="7">
        <v>101.274696</v>
      </c>
      <c r="C71" s="7">
        <v>27.52</v>
      </c>
    </row>
    <row r="72" spans="1:3">
      <c r="A72" s="6">
        <v>40882</v>
      </c>
      <c r="B72" s="7">
        <v>102.377815</v>
      </c>
      <c r="C72" s="7">
        <v>27.84</v>
      </c>
    </row>
    <row r="73" spans="1:3">
      <c r="A73" s="6">
        <v>40883</v>
      </c>
      <c r="B73" s="7">
        <v>102.410263</v>
      </c>
      <c r="C73" s="7">
        <v>28.129999</v>
      </c>
    </row>
    <row r="74" spans="1:3">
      <c r="A74" s="6">
        <v>40884</v>
      </c>
      <c r="B74" s="7">
        <v>102.791458</v>
      </c>
      <c r="C74" s="7">
        <v>28.67</v>
      </c>
    </row>
    <row r="75" spans="1:3">
      <c r="A75" s="6">
        <v>40885</v>
      </c>
      <c r="B75" s="7">
        <v>100.536583</v>
      </c>
      <c r="C75" s="7">
        <v>30.59</v>
      </c>
    </row>
    <row r="76" spans="1:3">
      <c r="A76" s="6">
        <v>40886</v>
      </c>
      <c r="B76" s="7">
        <v>102.239922</v>
      </c>
      <c r="C76" s="7">
        <v>26.379999</v>
      </c>
    </row>
    <row r="77" spans="1:3">
      <c r="A77" s="6">
        <v>40889</v>
      </c>
      <c r="B77" s="7">
        <v>100.747475</v>
      </c>
      <c r="C77" s="7">
        <v>25.67</v>
      </c>
    </row>
    <row r="78" spans="1:3">
      <c r="A78" s="6">
        <v>40890</v>
      </c>
      <c r="B78" s="7">
        <v>99.80661</v>
      </c>
      <c r="C78" s="7">
        <v>25.41</v>
      </c>
    </row>
    <row r="79" spans="1:3">
      <c r="A79" s="6">
        <v>40891</v>
      </c>
      <c r="B79" s="7">
        <v>98.744049</v>
      </c>
      <c r="C79" s="7">
        <v>26.040001</v>
      </c>
    </row>
    <row r="80" spans="1:3">
      <c r="A80" s="6">
        <v>40892</v>
      </c>
      <c r="B80" s="7">
        <v>99.100929</v>
      </c>
      <c r="C80" s="7">
        <v>25.110001</v>
      </c>
    </row>
    <row r="81" spans="1:3">
      <c r="A81" s="6">
        <v>40893</v>
      </c>
      <c r="B81" s="7">
        <v>99.247864</v>
      </c>
      <c r="C81" s="7">
        <v>24.290001</v>
      </c>
    </row>
    <row r="82" spans="1:3">
      <c r="A82" s="6">
        <v>40896</v>
      </c>
      <c r="B82" s="7">
        <v>98.186729</v>
      </c>
      <c r="C82" s="7">
        <v>24.92</v>
      </c>
    </row>
    <row r="83" spans="1:3">
      <c r="A83" s="6">
        <v>40897</v>
      </c>
      <c r="B83" s="7">
        <v>101.157883</v>
      </c>
      <c r="C83" s="7">
        <v>23.219999</v>
      </c>
    </row>
    <row r="84" spans="1:3">
      <c r="A84" s="6">
        <v>40898</v>
      </c>
      <c r="B84" s="7">
        <v>101.353783</v>
      </c>
      <c r="C84" s="7">
        <v>21.43</v>
      </c>
    </row>
    <row r="85" spans="1:3">
      <c r="A85" s="6">
        <v>40899</v>
      </c>
      <c r="B85" s="7">
        <v>102.251678</v>
      </c>
      <c r="C85" s="7">
        <v>21.16</v>
      </c>
    </row>
    <row r="86" spans="1:3">
      <c r="A86" s="6">
        <v>40900</v>
      </c>
      <c r="B86" s="7">
        <v>103.165871</v>
      </c>
      <c r="C86" s="7">
        <v>20.73</v>
      </c>
    </row>
    <row r="87" spans="1:3">
      <c r="A87" s="6">
        <v>40904</v>
      </c>
      <c r="B87" s="7">
        <v>103.247475</v>
      </c>
      <c r="C87" s="7">
        <v>21.91</v>
      </c>
    </row>
    <row r="88" spans="1:3">
      <c r="A88" s="6">
        <v>40905</v>
      </c>
      <c r="B88" s="7">
        <v>101.892509</v>
      </c>
      <c r="C88" s="7">
        <v>23.52</v>
      </c>
    </row>
    <row r="89" spans="1:3">
      <c r="A89" s="6">
        <v>40906</v>
      </c>
      <c r="B89" s="7">
        <v>102.94548</v>
      </c>
      <c r="C89" s="7">
        <v>22.65</v>
      </c>
    </row>
    <row r="90" spans="1:3">
      <c r="A90" s="6">
        <v>40907</v>
      </c>
      <c r="B90" s="7">
        <v>102.439392</v>
      </c>
      <c r="C90" s="7">
        <v>23.4</v>
      </c>
    </row>
    <row r="91" spans="1:3">
      <c r="A91" s="6">
        <v>40911</v>
      </c>
      <c r="B91" s="7">
        <v>104.071884</v>
      </c>
      <c r="C91" s="7">
        <v>22.969999</v>
      </c>
    </row>
    <row r="92" spans="1:3">
      <c r="A92" s="6">
        <v>40912</v>
      </c>
      <c r="B92" s="7">
        <v>104.235153</v>
      </c>
      <c r="C92" s="7">
        <v>22.219999</v>
      </c>
    </row>
    <row r="93" spans="1:3">
      <c r="A93" s="6">
        <v>40913</v>
      </c>
      <c r="B93" s="7">
        <v>104.512672</v>
      </c>
      <c r="C93" s="7">
        <v>21.48</v>
      </c>
    </row>
    <row r="94" spans="1:3">
      <c r="A94" s="6">
        <v>40914</v>
      </c>
      <c r="B94" s="7">
        <v>104.243324</v>
      </c>
      <c r="C94" s="7">
        <v>20.629999</v>
      </c>
    </row>
    <row r="95" spans="1:3">
      <c r="A95" s="6">
        <v>40917</v>
      </c>
      <c r="B95" s="7">
        <v>104.496353</v>
      </c>
      <c r="C95" s="7">
        <v>21.07</v>
      </c>
    </row>
    <row r="96" spans="1:3">
      <c r="A96" s="6">
        <v>40918</v>
      </c>
      <c r="B96" s="7">
        <v>105.40242</v>
      </c>
      <c r="C96" s="7">
        <v>20.690001</v>
      </c>
    </row>
    <row r="97" spans="1:3">
      <c r="A97" s="6">
        <v>40919</v>
      </c>
      <c r="B97" s="7">
        <v>105.459526</v>
      </c>
      <c r="C97" s="7">
        <v>21.049999</v>
      </c>
    </row>
    <row r="98" spans="1:3">
      <c r="A98" s="6">
        <v>40920</v>
      </c>
      <c r="B98" s="7">
        <v>105.71257</v>
      </c>
      <c r="C98" s="7">
        <v>20.469999</v>
      </c>
    </row>
    <row r="99" spans="1:3">
      <c r="A99" s="6">
        <v>40921</v>
      </c>
      <c r="B99" s="7">
        <v>105.165688</v>
      </c>
      <c r="C99" s="7">
        <v>20.91</v>
      </c>
    </row>
    <row r="100" spans="1:3">
      <c r="A100" s="6">
        <v>40925</v>
      </c>
      <c r="B100" s="7">
        <v>105.573784</v>
      </c>
      <c r="C100" s="7">
        <v>22.200001</v>
      </c>
    </row>
    <row r="101" spans="1:3">
      <c r="A101" s="6">
        <v>40926</v>
      </c>
      <c r="B101" s="7">
        <v>106.74102</v>
      </c>
      <c r="C101" s="7">
        <v>20.889999</v>
      </c>
    </row>
    <row r="102" spans="1:3">
      <c r="A102" s="6">
        <v>40927</v>
      </c>
      <c r="B102" s="7">
        <v>107.304245</v>
      </c>
      <c r="C102" s="7">
        <v>19.870001</v>
      </c>
    </row>
    <row r="103" spans="1:3">
      <c r="A103" s="6">
        <v>40928</v>
      </c>
      <c r="B103" s="7">
        <v>107.704224</v>
      </c>
      <c r="C103" s="7">
        <v>18.280001</v>
      </c>
    </row>
    <row r="104" spans="1:3">
      <c r="A104" s="6">
        <v>40931</v>
      </c>
      <c r="B104" s="7">
        <v>107.426704</v>
      </c>
      <c r="C104" s="7">
        <v>18.67</v>
      </c>
    </row>
    <row r="105" spans="1:3">
      <c r="A105" s="6">
        <v>40932</v>
      </c>
      <c r="B105" s="7">
        <v>107.304245</v>
      </c>
      <c r="C105" s="7">
        <v>18.91</v>
      </c>
    </row>
    <row r="106" spans="1:3">
      <c r="A106" s="10">
        <v>40933</v>
      </c>
      <c r="B106" s="17">
        <v>108.202141</v>
      </c>
      <c r="C106" s="17">
        <v>18.309999</v>
      </c>
    </row>
    <row r="107" spans="1:3">
      <c r="A107" s="6">
        <v>40934</v>
      </c>
      <c r="B107" s="7">
        <v>107.647087</v>
      </c>
      <c r="C107" s="7">
        <v>18.57</v>
      </c>
    </row>
    <row r="108" spans="1:3">
      <c r="A108" s="6">
        <v>40935</v>
      </c>
      <c r="B108" s="7">
        <v>107.598129</v>
      </c>
      <c r="C108" s="7">
        <v>18.530001</v>
      </c>
    </row>
    <row r="109" spans="1:3">
      <c r="A109" s="6">
        <v>40938</v>
      </c>
      <c r="B109" s="7">
        <v>107.230789</v>
      </c>
      <c r="C109" s="7">
        <v>19.4</v>
      </c>
    </row>
    <row r="110" spans="1:3">
      <c r="A110" s="6">
        <v>40939</v>
      </c>
      <c r="B110" s="7">
        <v>107.18998</v>
      </c>
      <c r="C110" s="7">
        <v>19.440001</v>
      </c>
    </row>
    <row r="111" spans="1:3">
      <c r="A111" s="6">
        <v>40940</v>
      </c>
      <c r="B111" s="7">
        <v>108.12867</v>
      </c>
      <c r="C111" s="7">
        <v>18.549999</v>
      </c>
    </row>
    <row r="112" spans="1:3">
      <c r="A112" s="6">
        <v>40941</v>
      </c>
      <c r="B112" s="7">
        <v>108.300072</v>
      </c>
      <c r="C112" s="7">
        <v>17.98</v>
      </c>
    </row>
    <row r="113" spans="1:3">
      <c r="A113" s="6">
        <v>40942</v>
      </c>
      <c r="B113" s="7">
        <v>109.818321</v>
      </c>
      <c r="C113" s="7">
        <v>17.1</v>
      </c>
    </row>
    <row r="114" spans="1:3">
      <c r="A114" s="6">
        <v>40945</v>
      </c>
      <c r="B114" s="7">
        <v>109.744835</v>
      </c>
      <c r="C114" s="7">
        <v>17.76</v>
      </c>
    </row>
    <row r="115" spans="1:3">
      <c r="A115" s="6">
        <v>40946</v>
      </c>
      <c r="B115" s="7">
        <v>110.022354</v>
      </c>
      <c r="C115" s="7">
        <v>17.65</v>
      </c>
    </row>
    <row r="116" spans="1:3">
      <c r="A116" s="6">
        <v>40947</v>
      </c>
      <c r="B116" s="7">
        <v>110.348862</v>
      </c>
      <c r="C116" s="7">
        <v>18.16</v>
      </c>
    </row>
    <row r="117" spans="1:3">
      <c r="A117" s="6">
        <v>40948</v>
      </c>
      <c r="B117" s="7">
        <v>110.487633</v>
      </c>
      <c r="C117" s="7">
        <v>18.629999</v>
      </c>
    </row>
    <row r="118" spans="1:3">
      <c r="A118" s="6">
        <v>40949</v>
      </c>
      <c r="B118" s="7">
        <v>109.671371</v>
      </c>
      <c r="C118" s="7">
        <v>20.790001</v>
      </c>
    </row>
    <row r="119" spans="1:3">
      <c r="A119" s="6">
        <v>40952</v>
      </c>
      <c r="B119" s="7">
        <v>110.487633</v>
      </c>
      <c r="C119" s="7">
        <v>19.040001</v>
      </c>
    </row>
    <row r="120" spans="1:3">
      <c r="A120" s="6">
        <v>40953</v>
      </c>
      <c r="B120" s="7">
        <v>110.348862</v>
      </c>
      <c r="C120" s="7">
        <v>19.540001</v>
      </c>
    </row>
    <row r="121" spans="1:3">
      <c r="A121" s="6">
        <v>40954</v>
      </c>
      <c r="B121" s="7">
        <v>109.834602</v>
      </c>
      <c r="C121" s="7">
        <v>21.139999</v>
      </c>
    </row>
    <row r="122" spans="1:3">
      <c r="A122" s="6">
        <v>40955</v>
      </c>
      <c r="B122" s="7">
        <v>111.050827</v>
      </c>
      <c r="C122" s="7">
        <v>19.219999</v>
      </c>
    </row>
    <row r="123" spans="1:3">
      <c r="A123" s="6">
        <v>40956</v>
      </c>
      <c r="B123" s="7">
        <v>111.344673</v>
      </c>
      <c r="C123" s="7">
        <v>17.780001</v>
      </c>
    </row>
    <row r="124" spans="1:3">
      <c r="A124" s="6">
        <v>40960</v>
      </c>
      <c r="B124" s="7">
        <v>111.393684</v>
      </c>
      <c r="C124" s="7">
        <v>18.190001</v>
      </c>
    </row>
    <row r="125" spans="1:3">
      <c r="A125" s="6">
        <v>40961</v>
      </c>
      <c r="B125" s="7">
        <v>111.034492</v>
      </c>
      <c r="C125" s="7">
        <v>18.190001</v>
      </c>
    </row>
    <row r="126" spans="1:3">
      <c r="A126" s="6">
        <v>40962</v>
      </c>
      <c r="B126" s="7">
        <v>111.524277</v>
      </c>
      <c r="C126" s="7">
        <v>16.799999</v>
      </c>
    </row>
    <row r="127" spans="1:3">
      <c r="A127" s="6">
        <v>40963</v>
      </c>
      <c r="B127" s="7">
        <v>111.769142</v>
      </c>
      <c r="C127" s="7">
        <v>17.309999</v>
      </c>
    </row>
    <row r="128" spans="1:3">
      <c r="A128" s="6">
        <v>40966</v>
      </c>
      <c r="B128" s="7">
        <v>111.956894</v>
      </c>
      <c r="C128" s="7">
        <v>18.190001</v>
      </c>
    </row>
    <row r="129" spans="1:3">
      <c r="A129" s="6">
        <v>40967</v>
      </c>
      <c r="B129" s="7">
        <v>112.283394</v>
      </c>
      <c r="C129" s="7">
        <v>17.959999</v>
      </c>
    </row>
    <row r="130" spans="1:3">
      <c r="A130" s="6">
        <v>40968</v>
      </c>
      <c r="B130" s="7">
        <v>111.842621</v>
      </c>
      <c r="C130" s="7">
        <v>18.43</v>
      </c>
    </row>
    <row r="131" spans="1:3">
      <c r="A131" s="6">
        <v>40969</v>
      </c>
      <c r="B131" s="7">
        <v>112.422134</v>
      </c>
      <c r="C131" s="7">
        <v>17.26</v>
      </c>
    </row>
    <row r="132" spans="1:3">
      <c r="A132" s="6">
        <v>40970</v>
      </c>
      <c r="B132" s="7">
        <v>112.0793</v>
      </c>
      <c r="C132" s="7">
        <v>17.290001</v>
      </c>
    </row>
    <row r="133" spans="1:3">
      <c r="A133" s="6">
        <v>40973</v>
      </c>
      <c r="B133" s="7">
        <v>111.622208</v>
      </c>
      <c r="C133" s="7">
        <v>18.049999</v>
      </c>
    </row>
    <row r="134" spans="1:3">
      <c r="A134" s="6">
        <v>40974</v>
      </c>
      <c r="B134" s="7">
        <v>109.9897</v>
      </c>
      <c r="C134" s="7">
        <v>20.870001</v>
      </c>
    </row>
    <row r="135" spans="1:3">
      <c r="A135" s="6">
        <v>40975</v>
      </c>
      <c r="B135" s="7">
        <v>110.757011</v>
      </c>
      <c r="C135" s="7">
        <v>19.07</v>
      </c>
    </row>
    <row r="136" spans="1:3">
      <c r="A136" s="6">
        <v>40976</v>
      </c>
      <c r="B136" s="7">
        <v>111.85891</v>
      </c>
      <c r="C136" s="7">
        <v>17.950001</v>
      </c>
    </row>
    <row r="137" spans="1:3">
      <c r="A137" s="6">
        <v>40977</v>
      </c>
      <c r="B137" s="7">
        <v>112.291565</v>
      </c>
      <c r="C137" s="7">
        <v>17.110001</v>
      </c>
    </row>
    <row r="138" spans="1:3">
      <c r="A138" s="6">
        <v>40980</v>
      </c>
      <c r="B138" s="7">
        <v>112.299683</v>
      </c>
      <c r="C138" s="7">
        <v>15.64</v>
      </c>
    </row>
    <row r="139" spans="1:3">
      <c r="A139" s="10">
        <v>40981</v>
      </c>
      <c r="B139" s="17">
        <v>114.323975</v>
      </c>
      <c r="C139" s="17">
        <v>14.8</v>
      </c>
    </row>
    <row r="140" spans="1:3">
      <c r="A140" s="6">
        <v>40982</v>
      </c>
      <c r="B140" s="7">
        <v>114.201553</v>
      </c>
      <c r="C140" s="7">
        <v>15.31</v>
      </c>
    </row>
    <row r="141" spans="1:3">
      <c r="A141" s="6">
        <v>40983</v>
      </c>
      <c r="B141" s="7">
        <v>114.862709</v>
      </c>
      <c r="C141" s="7">
        <v>15.42</v>
      </c>
    </row>
    <row r="142" spans="1:3">
      <c r="A142" s="6">
        <v>40984</v>
      </c>
      <c r="B142" s="7">
        <v>115.021774</v>
      </c>
      <c r="C142" s="7">
        <v>14.47</v>
      </c>
    </row>
    <row r="143" spans="1:3">
      <c r="A143" s="6">
        <v>40987</v>
      </c>
      <c r="B143" s="7">
        <v>115.472679</v>
      </c>
      <c r="C143" s="7">
        <v>15.04</v>
      </c>
    </row>
    <row r="144" spans="1:3">
      <c r="A144" s="6">
        <v>40988</v>
      </c>
      <c r="B144" s="7">
        <v>115.136566</v>
      </c>
      <c r="C144" s="7">
        <v>15.58</v>
      </c>
    </row>
    <row r="145" spans="1:3">
      <c r="A145" s="6">
        <v>40989</v>
      </c>
      <c r="B145" s="7">
        <v>114.948021</v>
      </c>
      <c r="C145" s="7">
        <v>15.13</v>
      </c>
    </row>
    <row r="146" spans="1:3">
      <c r="A146" s="6">
        <v>40990</v>
      </c>
      <c r="B146" s="7">
        <v>114.119942</v>
      </c>
      <c r="C146" s="7">
        <v>15.57</v>
      </c>
    </row>
    <row r="147" spans="1:3">
      <c r="A147" s="6">
        <v>40991</v>
      </c>
      <c r="B147" s="7">
        <v>114.488907</v>
      </c>
      <c r="C147" s="7">
        <v>14.82</v>
      </c>
    </row>
    <row r="148" spans="1:3">
      <c r="A148" s="6">
        <v>40994</v>
      </c>
      <c r="B148" s="7">
        <v>116.095757</v>
      </c>
      <c r="C148" s="7">
        <v>14.26</v>
      </c>
    </row>
    <row r="149" spans="1:3">
      <c r="A149" s="6">
        <v>40995</v>
      </c>
      <c r="B149" s="7">
        <v>115.735077</v>
      </c>
      <c r="C149" s="7">
        <v>15.59</v>
      </c>
    </row>
    <row r="150" spans="1:3">
      <c r="A150" s="6">
        <v>40996</v>
      </c>
      <c r="B150" s="7">
        <v>115.161156</v>
      </c>
      <c r="C150" s="7">
        <v>15.47</v>
      </c>
    </row>
    <row r="151" spans="1:3">
      <c r="A151" s="6">
        <v>40997</v>
      </c>
      <c r="B151" s="7">
        <v>114.964371</v>
      </c>
      <c r="C151" s="7">
        <v>15.48</v>
      </c>
    </row>
    <row r="152" spans="1:3">
      <c r="A152" s="6">
        <v>40998</v>
      </c>
      <c r="B152" s="7">
        <v>115.439911</v>
      </c>
      <c r="C152" s="7">
        <v>15.5</v>
      </c>
    </row>
    <row r="153" spans="1:3">
      <c r="A153" s="6">
        <v>41001</v>
      </c>
      <c r="B153" s="7">
        <v>116.284325</v>
      </c>
      <c r="C153" s="7">
        <v>15.64</v>
      </c>
    </row>
    <row r="154" spans="1:3">
      <c r="A154" s="6">
        <v>41002</v>
      </c>
      <c r="B154" s="7">
        <v>115.8088</v>
      </c>
      <c r="C154" s="7">
        <v>15.66</v>
      </c>
    </row>
    <row r="155" spans="1:3">
      <c r="A155" s="6">
        <v>41003</v>
      </c>
      <c r="B155" s="7">
        <v>114.661041</v>
      </c>
      <c r="C155" s="7">
        <v>16.440001</v>
      </c>
    </row>
    <row r="156" spans="1:3">
      <c r="A156" s="6">
        <v>41004</v>
      </c>
      <c r="B156" s="7">
        <v>114.603699</v>
      </c>
      <c r="C156" s="7">
        <v>16.700001</v>
      </c>
    </row>
    <row r="157" spans="1:3">
      <c r="A157" s="6">
        <v>41008</v>
      </c>
      <c r="B157" s="7">
        <v>113.316528</v>
      </c>
      <c r="C157" s="7">
        <v>18.809999</v>
      </c>
    </row>
    <row r="158" spans="1:3">
      <c r="A158" s="6">
        <v>41009</v>
      </c>
      <c r="B158" s="7">
        <v>111.414528</v>
      </c>
      <c r="C158" s="7">
        <v>20.389999</v>
      </c>
    </row>
    <row r="159" spans="1:3">
      <c r="A159" s="6">
        <v>41010</v>
      </c>
      <c r="B159" s="7">
        <v>112.31636</v>
      </c>
      <c r="C159" s="7">
        <v>20.02</v>
      </c>
    </row>
    <row r="160" spans="1:3">
      <c r="A160" s="6">
        <v>41011</v>
      </c>
      <c r="B160" s="7">
        <v>113.783829</v>
      </c>
      <c r="C160" s="7">
        <v>17.200001</v>
      </c>
    </row>
    <row r="161" spans="1:3">
      <c r="A161" s="6">
        <v>41012</v>
      </c>
      <c r="B161" s="7">
        <v>112.431129</v>
      </c>
      <c r="C161" s="7">
        <v>19.549999</v>
      </c>
    </row>
    <row r="162" spans="1:3">
      <c r="A162" s="6">
        <v>41015</v>
      </c>
      <c r="B162" s="7">
        <v>112.357323</v>
      </c>
      <c r="C162" s="7">
        <v>19.549999</v>
      </c>
    </row>
    <row r="163" spans="1:3">
      <c r="A163" s="6">
        <v>41016</v>
      </c>
      <c r="B163" s="7">
        <v>114.021591</v>
      </c>
      <c r="C163" s="7">
        <v>18.459999</v>
      </c>
    </row>
    <row r="164" spans="1:3">
      <c r="A164" s="6">
        <v>41017</v>
      </c>
      <c r="B164" s="7">
        <v>113.636292</v>
      </c>
      <c r="C164" s="7">
        <v>18.639999</v>
      </c>
    </row>
    <row r="165" spans="1:3">
      <c r="A165" s="6">
        <v>41018</v>
      </c>
      <c r="B165" s="7">
        <v>112.906616</v>
      </c>
      <c r="C165" s="7">
        <v>18.360001</v>
      </c>
    </row>
    <row r="166" spans="1:3">
      <c r="A166" s="6">
        <v>41019</v>
      </c>
      <c r="B166" s="7">
        <v>113.095184</v>
      </c>
      <c r="C166" s="7">
        <v>17.440001</v>
      </c>
    </row>
    <row r="167" spans="1:3">
      <c r="A167" s="6">
        <v>41022</v>
      </c>
      <c r="B167" s="7">
        <v>112.144157</v>
      </c>
      <c r="C167" s="7">
        <v>18.969999</v>
      </c>
    </row>
    <row r="168" spans="1:3">
      <c r="A168" s="6">
        <v>41023</v>
      </c>
      <c r="B168" s="7">
        <v>112.570534</v>
      </c>
      <c r="C168" s="7">
        <v>18.1</v>
      </c>
    </row>
    <row r="169" spans="1:3">
      <c r="A169" s="10">
        <v>41024</v>
      </c>
      <c r="B169" s="17">
        <v>114.111778</v>
      </c>
      <c r="C169" s="17">
        <v>16.82</v>
      </c>
    </row>
    <row r="170" spans="1:3">
      <c r="A170" s="6">
        <v>41025</v>
      </c>
      <c r="B170" s="7">
        <v>114.907021</v>
      </c>
      <c r="C170" s="7">
        <v>16.24</v>
      </c>
    </row>
    <row r="171" spans="1:3">
      <c r="A171" s="6">
        <v>41026</v>
      </c>
      <c r="B171" s="7">
        <v>115.095589</v>
      </c>
      <c r="C171" s="7">
        <v>16.32</v>
      </c>
    </row>
    <row r="172" spans="1:3">
      <c r="A172" s="6">
        <v>41029</v>
      </c>
      <c r="B172" s="7">
        <v>114.669281</v>
      </c>
      <c r="C172" s="7">
        <v>17.15</v>
      </c>
    </row>
    <row r="173" spans="1:3">
      <c r="A173" s="6">
        <v>41030</v>
      </c>
      <c r="B173" s="7">
        <v>115.38253</v>
      </c>
      <c r="C173" s="7">
        <v>16.6</v>
      </c>
    </row>
    <row r="174" spans="1:3">
      <c r="A174" s="6">
        <v>41031</v>
      </c>
      <c r="B174" s="7">
        <v>115.03817</v>
      </c>
      <c r="C174" s="7">
        <v>16.879999</v>
      </c>
    </row>
    <row r="175" spans="1:3">
      <c r="A175" s="6">
        <v>41032</v>
      </c>
      <c r="B175" s="7">
        <v>114.160942</v>
      </c>
      <c r="C175" s="7">
        <v>17.559999</v>
      </c>
    </row>
    <row r="176" spans="1:3">
      <c r="A176" s="6">
        <v>41033</v>
      </c>
      <c r="B176" s="7">
        <v>112.31636</v>
      </c>
      <c r="C176" s="7">
        <v>19.16</v>
      </c>
    </row>
    <row r="177" spans="1:3">
      <c r="A177" s="6">
        <v>41036</v>
      </c>
      <c r="B177" s="7">
        <v>112.398338</v>
      </c>
      <c r="C177" s="7">
        <v>18.940001</v>
      </c>
    </row>
    <row r="178" spans="1:3">
      <c r="A178" s="6">
        <v>41037</v>
      </c>
      <c r="B178" s="7">
        <v>111.947441</v>
      </c>
      <c r="C178" s="7">
        <v>19.049999</v>
      </c>
    </row>
    <row r="179" spans="1:3">
      <c r="A179" s="6">
        <v>41038</v>
      </c>
      <c r="B179" s="7">
        <v>111.283386</v>
      </c>
      <c r="C179" s="7">
        <v>20.08</v>
      </c>
    </row>
    <row r="180" spans="1:3">
      <c r="A180" s="6">
        <v>41039</v>
      </c>
      <c r="B180" s="7">
        <v>111.512924</v>
      </c>
      <c r="C180" s="7">
        <v>18.83</v>
      </c>
    </row>
    <row r="181" spans="1:3">
      <c r="A181" s="6">
        <v>41040</v>
      </c>
      <c r="B181" s="7">
        <v>111.176781</v>
      </c>
      <c r="C181" s="7">
        <v>19.889999</v>
      </c>
    </row>
    <row r="182" spans="1:3">
      <c r="A182" s="6">
        <v>41043</v>
      </c>
      <c r="B182" s="7">
        <v>109.94706</v>
      </c>
      <c r="C182" s="7">
        <v>21.870001</v>
      </c>
    </row>
    <row r="183" spans="1:3">
      <c r="A183" s="6">
        <v>41044</v>
      </c>
      <c r="B183" s="7">
        <v>109.315781</v>
      </c>
      <c r="C183" s="7">
        <v>21.969999</v>
      </c>
    </row>
    <row r="184" spans="1:3">
      <c r="A184" s="6">
        <v>41045</v>
      </c>
      <c r="B184" s="7">
        <v>108.89769</v>
      </c>
      <c r="C184" s="7">
        <v>22.27</v>
      </c>
    </row>
    <row r="185" spans="1:3">
      <c r="A185" s="6">
        <v>41046</v>
      </c>
      <c r="B185" s="7">
        <v>107.282616</v>
      </c>
      <c r="C185" s="7">
        <v>24.49</v>
      </c>
    </row>
    <row r="186" spans="1:3">
      <c r="A186" s="6">
        <v>41047</v>
      </c>
      <c r="B186" s="7">
        <v>106.36441</v>
      </c>
      <c r="C186" s="7">
        <v>25.1</v>
      </c>
    </row>
    <row r="187" spans="1:3">
      <c r="A187" s="6">
        <v>41050</v>
      </c>
      <c r="B187" s="7">
        <v>108.192619</v>
      </c>
      <c r="C187" s="7">
        <v>22.01</v>
      </c>
    </row>
    <row r="188" spans="1:3">
      <c r="A188" s="6">
        <v>41051</v>
      </c>
      <c r="B188" s="7">
        <v>108.38121</v>
      </c>
      <c r="C188" s="7">
        <v>22.48</v>
      </c>
    </row>
    <row r="189" spans="1:3">
      <c r="A189" s="6">
        <v>41052</v>
      </c>
      <c r="B189" s="7">
        <v>108.438583</v>
      </c>
      <c r="C189" s="7">
        <v>22.33</v>
      </c>
    </row>
    <row r="190" spans="1:3">
      <c r="A190" s="6">
        <v>41053</v>
      </c>
      <c r="B190" s="7">
        <v>108.651711</v>
      </c>
      <c r="C190" s="7">
        <v>21.540001</v>
      </c>
    </row>
    <row r="191" spans="1:3">
      <c r="A191" s="6">
        <v>41054</v>
      </c>
      <c r="B191" s="7">
        <v>108.299217</v>
      </c>
      <c r="C191" s="7">
        <v>21.76</v>
      </c>
    </row>
    <row r="192" spans="1:3">
      <c r="A192" s="6">
        <v>41058</v>
      </c>
      <c r="B192" s="7">
        <v>109.610924</v>
      </c>
      <c r="C192" s="7">
        <v>21.030001</v>
      </c>
    </row>
    <row r="193" spans="1:3">
      <c r="A193" s="6">
        <v>41059</v>
      </c>
      <c r="B193" s="7">
        <v>108.020439</v>
      </c>
      <c r="C193" s="7">
        <v>24.139999</v>
      </c>
    </row>
    <row r="194" spans="1:3">
      <c r="A194" s="6">
        <v>41060</v>
      </c>
      <c r="B194" s="7">
        <v>107.782692</v>
      </c>
      <c r="C194" s="7">
        <v>24.059999</v>
      </c>
    </row>
    <row r="195" spans="1:3">
      <c r="A195" s="6">
        <v>41061</v>
      </c>
      <c r="B195" s="7">
        <v>105.069077</v>
      </c>
      <c r="C195" s="7">
        <v>26.66</v>
      </c>
    </row>
    <row r="196" spans="1:3">
      <c r="A196" s="6">
        <v>41064</v>
      </c>
      <c r="B196" s="7">
        <v>105.019875</v>
      </c>
      <c r="C196" s="7">
        <v>26.120001</v>
      </c>
    </row>
    <row r="197" spans="1:3">
      <c r="A197" s="6">
        <v>41065</v>
      </c>
      <c r="B197" s="7">
        <v>105.815125</v>
      </c>
      <c r="C197" s="7">
        <v>24.68</v>
      </c>
    </row>
    <row r="198" spans="1:3">
      <c r="A198" s="6">
        <v>41066</v>
      </c>
      <c r="B198" s="7">
        <v>108.192619</v>
      </c>
      <c r="C198" s="7">
        <v>22.16</v>
      </c>
    </row>
    <row r="199" spans="1:3">
      <c r="A199" s="6">
        <v>41067</v>
      </c>
      <c r="B199" s="7">
        <v>108.258202</v>
      </c>
      <c r="C199" s="7">
        <v>21.719999</v>
      </c>
    </row>
    <row r="200" spans="1:3">
      <c r="A200" s="6">
        <v>41068</v>
      </c>
      <c r="B200" s="7">
        <v>109.119026</v>
      </c>
      <c r="C200" s="7">
        <v>21.23</v>
      </c>
    </row>
    <row r="201" spans="1:3">
      <c r="A201" s="6">
        <v>41071</v>
      </c>
      <c r="B201" s="7">
        <v>107.733528</v>
      </c>
      <c r="C201" s="7">
        <v>23.559999</v>
      </c>
    </row>
    <row r="202" spans="1:3">
      <c r="A202" s="6">
        <v>41072</v>
      </c>
      <c r="B202" s="7">
        <v>108.971474</v>
      </c>
      <c r="C202" s="7">
        <v>22.09</v>
      </c>
    </row>
    <row r="203" spans="1:3">
      <c r="A203" s="6">
        <v>41073</v>
      </c>
      <c r="B203" s="7">
        <v>108.274651</v>
      </c>
      <c r="C203" s="7">
        <v>24.27</v>
      </c>
    </row>
    <row r="204" spans="1:3">
      <c r="A204" s="6">
        <v>41074</v>
      </c>
      <c r="B204" s="7">
        <v>109.422363</v>
      </c>
      <c r="C204" s="7">
        <v>21.68</v>
      </c>
    </row>
    <row r="205" spans="1:3">
      <c r="A205" s="6">
        <v>41075</v>
      </c>
      <c r="B205" s="7">
        <v>110.541458</v>
      </c>
      <c r="C205" s="7">
        <v>21.110001</v>
      </c>
    </row>
    <row r="206" spans="1:3">
      <c r="A206" s="6">
        <v>41078</v>
      </c>
      <c r="B206" s="7">
        <v>110.755714</v>
      </c>
      <c r="C206" s="7">
        <v>18.32</v>
      </c>
    </row>
    <row r="207" spans="1:3">
      <c r="A207" s="6">
        <v>41079</v>
      </c>
      <c r="B207" s="7">
        <v>111.827026</v>
      </c>
      <c r="C207" s="7">
        <v>18.379999</v>
      </c>
    </row>
    <row r="208" spans="1:3">
      <c r="A208" s="10">
        <v>41080</v>
      </c>
      <c r="B208" s="17">
        <v>111.645699</v>
      </c>
      <c r="C208" s="17">
        <v>17.24</v>
      </c>
    </row>
    <row r="209" spans="1:3">
      <c r="A209" s="6">
        <v>41081</v>
      </c>
      <c r="B209" s="7">
        <v>109.140556</v>
      </c>
      <c r="C209" s="7">
        <v>20.08</v>
      </c>
    </row>
    <row r="210" spans="1:3">
      <c r="A210" s="6">
        <v>41082</v>
      </c>
      <c r="B210" s="7">
        <v>109.981087</v>
      </c>
      <c r="C210" s="7">
        <v>18.110001</v>
      </c>
    </row>
    <row r="211" spans="1:3">
      <c r="A211" s="6">
        <v>41085</v>
      </c>
      <c r="B211" s="7">
        <v>108.217567</v>
      </c>
      <c r="C211" s="7">
        <v>20.379999</v>
      </c>
    </row>
    <row r="212" spans="1:3">
      <c r="A212" s="6">
        <v>41086</v>
      </c>
      <c r="B212" s="7">
        <v>108.761452</v>
      </c>
      <c r="C212" s="7">
        <v>19.719999</v>
      </c>
    </row>
    <row r="213" spans="1:3">
      <c r="A213" s="6">
        <v>41087</v>
      </c>
      <c r="B213" s="7">
        <v>109.742104</v>
      </c>
      <c r="C213" s="7">
        <v>19.450001</v>
      </c>
    </row>
    <row r="214" spans="1:3">
      <c r="A214" s="6">
        <v>41088</v>
      </c>
      <c r="B214" s="7">
        <v>109.42894</v>
      </c>
      <c r="C214" s="7">
        <v>19.709999</v>
      </c>
    </row>
    <row r="215" spans="1:3">
      <c r="A215" s="6">
        <v>41089</v>
      </c>
      <c r="B215" s="7">
        <v>112.156639</v>
      </c>
      <c r="C215" s="7">
        <v>17.08</v>
      </c>
    </row>
    <row r="216" spans="1:3">
      <c r="A216" s="6">
        <v>41092</v>
      </c>
      <c r="B216" s="7">
        <v>112.494499</v>
      </c>
      <c r="C216" s="7">
        <v>16.799999</v>
      </c>
    </row>
    <row r="217" spans="1:3">
      <c r="A217" s="6">
        <v>41093</v>
      </c>
      <c r="B217" s="7">
        <v>113.236191</v>
      </c>
      <c r="C217" s="7">
        <v>16.66</v>
      </c>
    </row>
    <row r="218" spans="1:3">
      <c r="A218" s="6">
        <v>41095</v>
      </c>
      <c r="B218" s="7">
        <v>112.725227</v>
      </c>
      <c r="C218" s="7">
        <v>17.5</v>
      </c>
    </row>
    <row r="219" spans="1:3">
      <c r="A219" s="6">
        <v>41096</v>
      </c>
      <c r="B219" s="7">
        <v>111.653976</v>
      </c>
      <c r="C219" s="7">
        <v>17.1</v>
      </c>
    </row>
    <row r="220" spans="1:3">
      <c r="A220" s="6">
        <v>41099</v>
      </c>
      <c r="B220" s="7">
        <v>111.51387</v>
      </c>
      <c r="C220" s="7">
        <v>17.98</v>
      </c>
    </row>
    <row r="221" spans="1:3">
      <c r="A221" s="6">
        <v>41100</v>
      </c>
      <c r="B221" s="7">
        <v>110.541458</v>
      </c>
      <c r="C221" s="7">
        <v>18.719999</v>
      </c>
    </row>
    <row r="222" spans="1:3">
      <c r="A222" s="6">
        <v>41101</v>
      </c>
      <c r="B222" s="7">
        <v>110.557945</v>
      </c>
      <c r="C222" s="7">
        <v>17.950001</v>
      </c>
    </row>
    <row r="223" spans="1:3">
      <c r="A223" s="6">
        <v>41102</v>
      </c>
      <c r="B223" s="7">
        <v>110.022278</v>
      </c>
      <c r="C223" s="7">
        <v>18.33</v>
      </c>
    </row>
    <row r="224" spans="1:3">
      <c r="A224" s="6">
        <v>41103</v>
      </c>
      <c r="B224" s="7">
        <v>111.86821</v>
      </c>
      <c r="C224" s="7">
        <v>16.74</v>
      </c>
    </row>
    <row r="225" spans="1:3">
      <c r="A225" s="6">
        <v>41106</v>
      </c>
      <c r="B225" s="7">
        <v>111.6045</v>
      </c>
      <c r="C225" s="7">
        <v>17.110001</v>
      </c>
    </row>
    <row r="226" spans="1:3">
      <c r="A226" s="6">
        <v>41107</v>
      </c>
      <c r="B226" s="7">
        <v>112.370934</v>
      </c>
      <c r="C226" s="7">
        <v>16.48</v>
      </c>
    </row>
    <row r="227" spans="1:3">
      <c r="A227" s="6">
        <v>41108</v>
      </c>
      <c r="B227" s="7">
        <v>113.203201</v>
      </c>
      <c r="C227" s="7">
        <v>16.16</v>
      </c>
    </row>
    <row r="228" spans="1:3">
      <c r="A228" s="6">
        <v>41109</v>
      </c>
      <c r="B228" s="7">
        <v>113.499863</v>
      </c>
      <c r="C228" s="7">
        <v>15.45</v>
      </c>
    </row>
    <row r="229" spans="1:3">
      <c r="A229" s="6">
        <v>41110</v>
      </c>
      <c r="B229" s="7">
        <v>112.46154</v>
      </c>
      <c r="C229" s="7">
        <v>16.27</v>
      </c>
    </row>
    <row r="230" spans="1:3">
      <c r="A230" s="6">
        <v>41113</v>
      </c>
      <c r="B230" s="7">
        <v>111.324364</v>
      </c>
      <c r="C230" s="7">
        <v>18.620001</v>
      </c>
    </row>
    <row r="231" spans="1:3">
      <c r="A231" s="6">
        <v>41114</v>
      </c>
      <c r="B231" s="7">
        <v>110.368408</v>
      </c>
      <c r="C231" s="7">
        <v>20.469999</v>
      </c>
    </row>
    <row r="232" spans="1:3">
      <c r="A232" s="6">
        <v>41115</v>
      </c>
      <c r="B232" s="7">
        <v>110.393143</v>
      </c>
      <c r="C232" s="7">
        <v>19.34</v>
      </c>
    </row>
    <row r="233" spans="1:3">
      <c r="A233" s="6">
        <v>41116</v>
      </c>
      <c r="B233" s="7">
        <v>112.214348</v>
      </c>
      <c r="C233" s="7">
        <v>17.530001</v>
      </c>
    </row>
    <row r="234" spans="1:3">
      <c r="A234" s="6">
        <v>41117</v>
      </c>
      <c r="B234" s="7">
        <v>114.282761</v>
      </c>
      <c r="C234" s="7">
        <v>16.700001</v>
      </c>
    </row>
    <row r="235" spans="1:3">
      <c r="A235" s="6">
        <v>41120</v>
      </c>
      <c r="B235" s="7">
        <v>114.282761</v>
      </c>
      <c r="C235" s="7">
        <v>18.030001</v>
      </c>
    </row>
    <row r="236" spans="1:3">
      <c r="A236" s="10">
        <v>41121</v>
      </c>
      <c r="B236" s="17">
        <v>113.483414</v>
      </c>
      <c r="C236" s="17">
        <v>18.93</v>
      </c>
    </row>
    <row r="237" spans="1:3">
      <c r="A237" s="6">
        <v>41122</v>
      </c>
      <c r="B237" s="7">
        <v>113.384514</v>
      </c>
      <c r="C237" s="7">
        <v>18.959999</v>
      </c>
    </row>
    <row r="238" spans="1:3">
      <c r="A238" s="6">
        <v>41123</v>
      </c>
      <c r="B238" s="7">
        <v>112.601662</v>
      </c>
      <c r="C238" s="7">
        <v>17.57</v>
      </c>
    </row>
    <row r="239" spans="1:3">
      <c r="A239" s="6">
        <v>41124</v>
      </c>
      <c r="B239" s="7">
        <v>114.834908</v>
      </c>
      <c r="C239" s="7">
        <v>15.64</v>
      </c>
    </row>
    <row r="240" spans="1:3">
      <c r="A240" s="6">
        <v>41127</v>
      </c>
      <c r="B240" s="7">
        <v>115.057411</v>
      </c>
      <c r="C240" s="7">
        <v>15.95</v>
      </c>
    </row>
    <row r="241" spans="1:3">
      <c r="A241" s="6">
        <v>41128</v>
      </c>
      <c r="B241" s="7">
        <v>115.634224</v>
      </c>
      <c r="C241" s="7">
        <v>15.99</v>
      </c>
    </row>
    <row r="242" spans="1:3">
      <c r="A242" s="6">
        <v>41129</v>
      </c>
      <c r="B242" s="7">
        <v>115.774384</v>
      </c>
      <c r="C242" s="7">
        <v>15.32</v>
      </c>
    </row>
    <row r="243" spans="1:3">
      <c r="A243" s="6">
        <v>41130</v>
      </c>
      <c r="B243" s="7">
        <v>115.873253</v>
      </c>
      <c r="C243" s="7">
        <v>15.28</v>
      </c>
    </row>
    <row r="244" spans="1:3">
      <c r="A244" s="6">
        <v>41131</v>
      </c>
      <c r="B244" s="7">
        <v>116.062752</v>
      </c>
      <c r="C244" s="7">
        <v>14.74</v>
      </c>
    </row>
    <row r="245" spans="1:3">
      <c r="A245" s="6">
        <v>41134</v>
      </c>
      <c r="B245" s="7">
        <v>116.005081</v>
      </c>
      <c r="C245" s="7">
        <v>13.7</v>
      </c>
    </row>
    <row r="246" spans="1:3">
      <c r="A246" s="6">
        <v>41135</v>
      </c>
      <c r="B246" s="7">
        <v>116.021561</v>
      </c>
      <c r="C246" s="7">
        <v>14.85</v>
      </c>
    </row>
    <row r="247" spans="1:3">
      <c r="A247" s="6">
        <v>41136</v>
      </c>
      <c r="B247" s="7">
        <v>116.153404</v>
      </c>
      <c r="C247" s="7">
        <v>14.63</v>
      </c>
    </row>
    <row r="248" spans="1:3">
      <c r="A248" s="6">
        <v>41137</v>
      </c>
      <c r="B248" s="7">
        <v>117.010422</v>
      </c>
      <c r="C248" s="7">
        <v>14.29</v>
      </c>
    </row>
    <row r="249" spans="1:3">
      <c r="A249" s="6">
        <v>41138</v>
      </c>
      <c r="B249" s="7">
        <v>117.166977</v>
      </c>
      <c r="C249" s="7">
        <v>13.45</v>
      </c>
    </row>
    <row r="250" spans="1:3">
      <c r="A250" s="6">
        <v>41141</v>
      </c>
      <c r="B250" s="7">
        <v>117.175255</v>
      </c>
      <c r="C250" s="7">
        <v>14.02</v>
      </c>
    </row>
    <row r="251" spans="1:3">
      <c r="A251" s="6">
        <v>41142</v>
      </c>
      <c r="B251" s="7">
        <v>116.820892</v>
      </c>
      <c r="C251" s="7">
        <v>15.02</v>
      </c>
    </row>
    <row r="252" spans="1:3">
      <c r="A252" s="6">
        <v>41143</v>
      </c>
      <c r="B252" s="7">
        <v>116.870338</v>
      </c>
      <c r="C252" s="7">
        <v>15.11</v>
      </c>
    </row>
    <row r="253" spans="1:3">
      <c r="A253" s="6">
        <v>41144</v>
      </c>
      <c r="B253" s="7">
        <v>115.914429</v>
      </c>
      <c r="C253" s="7">
        <v>15.96</v>
      </c>
    </row>
    <row r="254" spans="1:3">
      <c r="A254" s="6">
        <v>41145</v>
      </c>
      <c r="B254" s="7">
        <v>116.614868</v>
      </c>
      <c r="C254" s="7">
        <v>15.18</v>
      </c>
    </row>
    <row r="255" spans="1:3">
      <c r="A255" s="6">
        <v>41148</v>
      </c>
      <c r="B255" s="7">
        <v>116.639587</v>
      </c>
      <c r="C255" s="7">
        <v>16.35</v>
      </c>
    </row>
    <row r="256" spans="1:3">
      <c r="A256" s="6">
        <v>41149</v>
      </c>
      <c r="B256" s="7">
        <v>116.524223</v>
      </c>
      <c r="C256" s="7">
        <v>16.49</v>
      </c>
    </row>
    <row r="257" spans="1:3">
      <c r="A257" s="6">
        <v>41150</v>
      </c>
      <c r="B257" s="7">
        <v>116.614868</v>
      </c>
      <c r="C257" s="7">
        <v>17.059999</v>
      </c>
    </row>
    <row r="258" spans="1:3">
      <c r="A258" s="6">
        <v>41151</v>
      </c>
      <c r="B258" s="7">
        <v>115.774384</v>
      </c>
      <c r="C258" s="7">
        <v>17.83</v>
      </c>
    </row>
    <row r="259" spans="1:3">
      <c r="A259" s="6">
        <v>41152</v>
      </c>
      <c r="B259" s="7">
        <v>116.326469</v>
      </c>
      <c r="C259" s="7">
        <v>17.469999</v>
      </c>
    </row>
    <row r="260" spans="1:3">
      <c r="A260" s="6">
        <v>41156</v>
      </c>
      <c r="B260" s="7">
        <v>116.219345</v>
      </c>
      <c r="C260" s="7">
        <v>17.98</v>
      </c>
    </row>
    <row r="261" spans="1:3">
      <c r="A261" s="6">
        <v>41157</v>
      </c>
      <c r="B261" s="7">
        <v>116.120468</v>
      </c>
      <c r="C261" s="7">
        <v>17.74</v>
      </c>
    </row>
    <row r="262" spans="1:3">
      <c r="A262" s="6">
        <v>41158</v>
      </c>
      <c r="B262" s="7">
        <v>118.477303</v>
      </c>
      <c r="C262" s="7">
        <v>15.6</v>
      </c>
    </row>
    <row r="263" spans="1:3">
      <c r="A263" s="6">
        <v>41159</v>
      </c>
      <c r="B263" s="7">
        <v>118.938805</v>
      </c>
      <c r="C263" s="7">
        <v>14.38</v>
      </c>
    </row>
    <row r="264" spans="1:3">
      <c r="A264" s="6">
        <v>41162</v>
      </c>
      <c r="B264" s="7">
        <v>118.263046</v>
      </c>
      <c r="C264" s="7">
        <v>16.280001</v>
      </c>
    </row>
    <row r="265" spans="1:3">
      <c r="A265" s="6">
        <v>41163</v>
      </c>
      <c r="B265" s="7">
        <v>118.592682</v>
      </c>
      <c r="C265" s="7">
        <v>16.41</v>
      </c>
    </row>
    <row r="266" spans="1:3">
      <c r="A266" s="6">
        <v>41164</v>
      </c>
      <c r="B266" s="7">
        <v>118.98822</v>
      </c>
      <c r="C266" s="7">
        <v>15.8</v>
      </c>
    </row>
    <row r="267" spans="1:3">
      <c r="A267" s="10">
        <v>41165</v>
      </c>
      <c r="B267" s="17">
        <v>120.80117</v>
      </c>
      <c r="C267" s="17">
        <v>14.05</v>
      </c>
    </row>
    <row r="268" spans="1:3">
      <c r="A268" s="6">
        <v>41166</v>
      </c>
      <c r="B268" s="7">
        <v>121.336861</v>
      </c>
      <c r="C268" s="7">
        <v>14.51</v>
      </c>
    </row>
    <row r="269" spans="1:3">
      <c r="A269" s="6">
        <v>41169</v>
      </c>
      <c r="B269" s="7">
        <v>120.924805</v>
      </c>
      <c r="C269" s="7">
        <v>14.59</v>
      </c>
    </row>
    <row r="270" spans="1:3">
      <c r="A270" s="6">
        <v>41170</v>
      </c>
      <c r="B270" s="7">
        <v>120.825897</v>
      </c>
      <c r="C270" s="7">
        <v>14.18</v>
      </c>
    </row>
    <row r="271" spans="1:3">
      <c r="A271" s="6">
        <v>41171</v>
      </c>
      <c r="B271" s="7">
        <v>120.891823</v>
      </c>
      <c r="C271" s="7">
        <v>13.88</v>
      </c>
    </row>
    <row r="272" spans="1:3">
      <c r="A272" s="6">
        <v>41172</v>
      </c>
      <c r="B272" s="7">
        <v>120.900093</v>
      </c>
      <c r="C272" s="7">
        <v>14.07</v>
      </c>
    </row>
    <row r="273" spans="1:3">
      <c r="A273" s="6">
        <v>41173</v>
      </c>
      <c r="B273" s="7">
        <v>120.849548</v>
      </c>
      <c r="C273" s="7">
        <v>13.98</v>
      </c>
    </row>
    <row r="274" spans="1:3">
      <c r="A274" s="6">
        <v>41176</v>
      </c>
      <c r="B274" s="7">
        <v>120.66729</v>
      </c>
      <c r="C274" s="7">
        <v>14.15</v>
      </c>
    </row>
    <row r="275" spans="1:3">
      <c r="A275" s="6">
        <v>41177</v>
      </c>
      <c r="B275" s="7">
        <v>119.383141</v>
      </c>
      <c r="C275" s="7">
        <v>15.43</v>
      </c>
    </row>
    <row r="276" spans="1:3">
      <c r="A276" s="6">
        <v>41178</v>
      </c>
      <c r="B276" s="7">
        <v>118.712036</v>
      </c>
      <c r="C276" s="7">
        <v>16.809999</v>
      </c>
    </row>
    <row r="277" spans="1:3">
      <c r="A277" s="6">
        <v>41179</v>
      </c>
      <c r="B277" s="7">
        <v>119.830544</v>
      </c>
      <c r="C277" s="7">
        <v>14.84</v>
      </c>
    </row>
    <row r="278" spans="1:3">
      <c r="A278" s="6">
        <v>41180</v>
      </c>
      <c r="B278" s="7">
        <v>119.275436</v>
      </c>
      <c r="C278" s="7">
        <v>15.73</v>
      </c>
    </row>
    <row r="279" spans="1:3">
      <c r="A279" s="6">
        <v>41183</v>
      </c>
      <c r="B279" s="7">
        <v>119.590279</v>
      </c>
      <c r="C279" s="7">
        <v>16.32</v>
      </c>
    </row>
    <row r="280" spans="1:3">
      <c r="A280" s="6">
        <v>41184</v>
      </c>
      <c r="B280" s="7">
        <v>119.714569</v>
      </c>
      <c r="C280" s="7">
        <v>15.71</v>
      </c>
    </row>
    <row r="281" spans="1:3">
      <c r="A281" s="6">
        <v>41185</v>
      </c>
      <c r="B281" s="7">
        <v>120.203354</v>
      </c>
      <c r="C281" s="7">
        <v>15.43</v>
      </c>
    </row>
    <row r="282" spans="1:3">
      <c r="A282" s="6">
        <v>41186</v>
      </c>
      <c r="B282" s="7">
        <v>121.064972</v>
      </c>
      <c r="C282" s="7">
        <v>14.55</v>
      </c>
    </row>
    <row r="283" spans="1:3">
      <c r="A283" s="6">
        <v>41187</v>
      </c>
      <c r="B283" s="7">
        <v>121.073196</v>
      </c>
      <c r="C283" s="7">
        <v>14.33</v>
      </c>
    </row>
    <row r="284" spans="1:3">
      <c r="A284" s="6">
        <v>41190</v>
      </c>
      <c r="B284" s="7">
        <v>120.659012</v>
      </c>
      <c r="C284" s="7">
        <v>15.11</v>
      </c>
    </row>
    <row r="285" spans="1:3">
      <c r="A285" s="6">
        <v>41191</v>
      </c>
      <c r="B285" s="7">
        <v>119.466026</v>
      </c>
      <c r="C285" s="7">
        <v>16.370001</v>
      </c>
    </row>
    <row r="286" spans="1:3">
      <c r="A286" s="6">
        <v>41192</v>
      </c>
      <c r="B286" s="7">
        <v>118.703781</v>
      </c>
      <c r="C286" s="7">
        <v>16.290001</v>
      </c>
    </row>
    <row r="287" spans="1:3">
      <c r="A287" s="6">
        <v>41193</v>
      </c>
      <c r="B287" s="7">
        <v>118.770088</v>
      </c>
      <c r="C287" s="7">
        <v>15.59</v>
      </c>
    </row>
    <row r="288" spans="1:3">
      <c r="A288" s="6">
        <v>41194</v>
      </c>
      <c r="B288" s="7">
        <v>118.380661</v>
      </c>
      <c r="C288" s="7">
        <v>16.139999</v>
      </c>
    </row>
    <row r="289" spans="1:3">
      <c r="A289" s="6">
        <v>41197</v>
      </c>
      <c r="B289" s="7">
        <v>119.366615</v>
      </c>
      <c r="C289" s="7">
        <v>15.27</v>
      </c>
    </row>
    <row r="290" spans="1:3">
      <c r="A290" s="6">
        <v>41198</v>
      </c>
      <c r="B290" s="7">
        <v>120.576172</v>
      </c>
      <c r="C290" s="7">
        <v>15.22</v>
      </c>
    </row>
    <row r="291" spans="1:3">
      <c r="A291" s="6">
        <v>41199</v>
      </c>
      <c r="B291" s="7">
        <v>121.122971</v>
      </c>
      <c r="C291" s="7">
        <v>15.07</v>
      </c>
    </row>
    <row r="292" spans="1:3">
      <c r="A292" s="6">
        <v>41200</v>
      </c>
      <c r="B292" s="7">
        <v>120.808136</v>
      </c>
      <c r="C292" s="7">
        <v>15.03</v>
      </c>
    </row>
    <row r="293" spans="1:3">
      <c r="A293" s="6">
        <v>41201</v>
      </c>
      <c r="B293" s="7">
        <v>118.794922</v>
      </c>
      <c r="C293" s="7">
        <v>17.059999</v>
      </c>
    </row>
    <row r="294" spans="1:3">
      <c r="A294" s="6">
        <v>41204</v>
      </c>
      <c r="B294" s="7">
        <v>118.811485</v>
      </c>
      <c r="C294" s="7">
        <v>16.620001</v>
      </c>
    </row>
    <row r="295" spans="1:3">
      <c r="A295" s="6">
        <v>41205</v>
      </c>
      <c r="B295" s="7">
        <v>117.162857</v>
      </c>
      <c r="C295" s="7">
        <v>18.83</v>
      </c>
    </row>
    <row r="296" spans="1:3">
      <c r="A296" s="10">
        <v>41206</v>
      </c>
      <c r="B296" s="17">
        <v>116.831459</v>
      </c>
      <c r="C296" s="17">
        <v>18.33</v>
      </c>
    </row>
    <row r="297" spans="1:3">
      <c r="A297" s="6">
        <v>41207</v>
      </c>
      <c r="B297" s="7">
        <v>117.171097</v>
      </c>
      <c r="C297" s="7">
        <v>18.120001</v>
      </c>
    </row>
    <row r="298" spans="1:3">
      <c r="A298" s="6">
        <v>41208</v>
      </c>
      <c r="B298" s="7">
        <v>117.104836</v>
      </c>
      <c r="C298" s="7">
        <v>17.809999</v>
      </c>
    </row>
    <row r="299" spans="1:3">
      <c r="A299" s="6">
        <v>41213</v>
      </c>
      <c r="B299" s="7">
        <v>117.104836</v>
      </c>
      <c r="C299" s="7">
        <v>18.6</v>
      </c>
    </row>
    <row r="300" spans="1:3">
      <c r="A300" s="6">
        <v>41214</v>
      </c>
      <c r="B300" s="7">
        <v>118.330971</v>
      </c>
      <c r="C300" s="7">
        <v>16.690001</v>
      </c>
    </row>
    <row r="301" spans="1:3">
      <c r="A301" s="6">
        <v>41215</v>
      </c>
      <c r="B301" s="7">
        <v>117.278824</v>
      </c>
      <c r="C301" s="7">
        <v>17.59</v>
      </c>
    </row>
    <row r="302" spans="1:3">
      <c r="A302" s="6">
        <v>41218</v>
      </c>
      <c r="B302" s="7">
        <v>117.519104</v>
      </c>
      <c r="C302" s="7">
        <v>18.42</v>
      </c>
    </row>
    <row r="303" spans="1:3">
      <c r="A303" s="6">
        <v>41219</v>
      </c>
      <c r="B303" s="7">
        <v>118.438683</v>
      </c>
      <c r="C303" s="7">
        <v>17.58</v>
      </c>
    </row>
    <row r="304" spans="1:3">
      <c r="A304" s="6">
        <v>41220</v>
      </c>
      <c r="B304" s="7">
        <v>115.754456</v>
      </c>
      <c r="C304" s="7">
        <v>19.08</v>
      </c>
    </row>
    <row r="305" spans="1:3">
      <c r="A305" s="6">
        <v>41221</v>
      </c>
      <c r="B305" s="7">
        <v>114.362602</v>
      </c>
      <c r="C305" s="7">
        <v>18.49</v>
      </c>
    </row>
    <row r="306" spans="1:3">
      <c r="A306" s="6">
        <v>41222</v>
      </c>
      <c r="B306" s="7">
        <v>114.461998</v>
      </c>
      <c r="C306" s="7">
        <v>18.610001</v>
      </c>
    </row>
    <row r="307" spans="1:3">
      <c r="A307" s="6">
        <v>41225</v>
      </c>
      <c r="B307" s="7">
        <v>114.553131</v>
      </c>
      <c r="C307" s="7">
        <v>16.68</v>
      </c>
    </row>
    <row r="308" spans="1:3">
      <c r="A308" s="6">
        <v>41226</v>
      </c>
      <c r="B308" s="7">
        <v>114.155502</v>
      </c>
      <c r="C308" s="7">
        <v>16.65</v>
      </c>
    </row>
    <row r="309" spans="1:3">
      <c r="A309" s="6">
        <v>41227</v>
      </c>
      <c r="B309" s="7">
        <v>112.61451</v>
      </c>
      <c r="C309" s="7">
        <v>17.92</v>
      </c>
    </row>
    <row r="310" spans="1:3">
      <c r="A310" s="6">
        <v>41228</v>
      </c>
      <c r="B310" s="7">
        <v>112.423965</v>
      </c>
      <c r="C310" s="7">
        <v>17.99</v>
      </c>
    </row>
    <row r="311" spans="1:3">
      <c r="A311" s="6">
        <v>41229</v>
      </c>
      <c r="B311" s="7">
        <v>112.979073</v>
      </c>
      <c r="C311" s="7">
        <v>16.41</v>
      </c>
    </row>
    <row r="312" spans="1:3">
      <c r="A312" s="6">
        <v>41232</v>
      </c>
      <c r="B312" s="7">
        <v>115.265656</v>
      </c>
      <c r="C312" s="7">
        <v>15.24</v>
      </c>
    </row>
    <row r="313" spans="1:3">
      <c r="A313" s="6">
        <v>41233</v>
      </c>
      <c r="B313" s="7">
        <v>115.315338</v>
      </c>
      <c r="C313" s="7">
        <v>15.08</v>
      </c>
    </row>
    <row r="314" spans="1:3">
      <c r="A314" s="6">
        <v>41234</v>
      </c>
      <c r="B314" s="7">
        <v>115.530716</v>
      </c>
      <c r="C314" s="7">
        <v>15.31</v>
      </c>
    </row>
    <row r="315" spans="1:3">
      <c r="A315" s="6">
        <v>41236</v>
      </c>
      <c r="B315" s="7">
        <v>117.104836</v>
      </c>
      <c r="C315" s="7">
        <v>15.14</v>
      </c>
    </row>
    <row r="316" spans="1:3">
      <c r="A316" s="6">
        <v>41239</v>
      </c>
      <c r="B316" s="7">
        <v>116.8563</v>
      </c>
      <c r="C316" s="7">
        <v>15.5</v>
      </c>
    </row>
    <row r="317" spans="1:3">
      <c r="A317" s="6">
        <v>41240</v>
      </c>
      <c r="B317" s="7">
        <v>116.259789</v>
      </c>
      <c r="C317" s="7">
        <v>15.92</v>
      </c>
    </row>
    <row r="318" spans="1:3">
      <c r="A318" s="6">
        <v>41241</v>
      </c>
      <c r="B318" s="7">
        <v>117.195969</v>
      </c>
      <c r="C318" s="7">
        <v>15.51</v>
      </c>
    </row>
    <row r="319" spans="1:3">
      <c r="A319" s="6">
        <v>41242</v>
      </c>
      <c r="B319" s="7">
        <v>117.74276</v>
      </c>
      <c r="C319" s="7">
        <v>15.06</v>
      </c>
    </row>
    <row r="320" spans="1:3">
      <c r="A320" s="6">
        <v>41243</v>
      </c>
      <c r="B320" s="7">
        <v>117.767639</v>
      </c>
      <c r="C320" s="7">
        <v>15.87</v>
      </c>
    </row>
    <row r="321" spans="1:3">
      <c r="A321" s="6">
        <v>41246</v>
      </c>
      <c r="B321" s="7">
        <v>117.187714</v>
      </c>
      <c r="C321" s="7">
        <v>16.639999</v>
      </c>
    </row>
    <row r="322" spans="1:3">
      <c r="A322" s="6">
        <v>41247</v>
      </c>
      <c r="B322" s="7">
        <v>117.021988</v>
      </c>
      <c r="C322" s="7">
        <v>17.120001</v>
      </c>
    </row>
    <row r="323" spans="1:3">
      <c r="A323" s="6">
        <v>41248</v>
      </c>
      <c r="B323" s="7">
        <v>117.229111</v>
      </c>
      <c r="C323" s="7">
        <v>16.459999</v>
      </c>
    </row>
    <row r="324" spans="1:3">
      <c r="A324" s="6">
        <v>41249</v>
      </c>
      <c r="B324" s="7">
        <v>117.626785</v>
      </c>
      <c r="C324" s="7">
        <v>16.58</v>
      </c>
    </row>
    <row r="325" spans="1:3">
      <c r="A325" s="6">
        <v>41250</v>
      </c>
      <c r="B325" s="7">
        <v>117.983009</v>
      </c>
      <c r="C325" s="7">
        <v>15.9</v>
      </c>
    </row>
    <row r="326" spans="1:3">
      <c r="A326" s="6">
        <v>41253</v>
      </c>
      <c r="B326" s="7">
        <v>118.03273</v>
      </c>
      <c r="C326" s="7">
        <v>16.049999</v>
      </c>
    </row>
    <row r="327" spans="1:3">
      <c r="A327" s="6">
        <v>41254</v>
      </c>
      <c r="B327" s="7">
        <v>118.836349</v>
      </c>
      <c r="C327" s="7">
        <v>15.57</v>
      </c>
    </row>
    <row r="328" spans="1:3">
      <c r="A328" s="10">
        <v>41255</v>
      </c>
      <c r="B328" s="17">
        <v>118.894363</v>
      </c>
      <c r="C328" s="17">
        <v>15.95</v>
      </c>
    </row>
    <row r="329" spans="1:3">
      <c r="A329" s="6">
        <v>41256</v>
      </c>
      <c r="B329" s="7">
        <v>118.165298</v>
      </c>
      <c r="C329" s="7">
        <v>16.559999</v>
      </c>
    </row>
    <row r="330" spans="1:3">
      <c r="A330" s="6">
        <v>41257</v>
      </c>
      <c r="B330" s="7">
        <v>117.726204</v>
      </c>
      <c r="C330" s="7">
        <v>17</v>
      </c>
    </row>
    <row r="331" spans="1:3">
      <c r="A331" s="6">
        <v>41260</v>
      </c>
      <c r="B331" s="7">
        <v>119.109756</v>
      </c>
      <c r="C331" s="7">
        <v>16.34</v>
      </c>
    </row>
    <row r="332" spans="1:3">
      <c r="A332" s="6">
        <v>41261</v>
      </c>
      <c r="B332" s="7">
        <v>120.43531</v>
      </c>
      <c r="C332" s="7">
        <v>15.57</v>
      </c>
    </row>
    <row r="333" spans="1:3">
      <c r="A333" s="6">
        <v>41262</v>
      </c>
      <c r="B333" s="7">
        <v>119.540527</v>
      </c>
      <c r="C333" s="7">
        <v>17.360001</v>
      </c>
    </row>
    <row r="334" spans="1:3">
      <c r="A334" s="6">
        <v>41263</v>
      </c>
      <c r="B334" s="7">
        <v>120.22818</v>
      </c>
      <c r="C334" s="7">
        <v>17.67</v>
      </c>
    </row>
    <row r="335" spans="1:3">
      <c r="A335" s="6">
        <v>41264</v>
      </c>
      <c r="B335" s="7">
        <v>119.136848</v>
      </c>
      <c r="C335" s="7">
        <v>17.84</v>
      </c>
    </row>
    <row r="336" spans="1:3">
      <c r="A336" s="6">
        <v>41267</v>
      </c>
      <c r="B336" s="7">
        <v>118.769775</v>
      </c>
      <c r="C336" s="7">
        <v>17.84</v>
      </c>
    </row>
    <row r="337" spans="1:3">
      <c r="A337" s="6">
        <v>41269</v>
      </c>
      <c r="B337" s="7">
        <v>118.269173</v>
      </c>
      <c r="C337" s="7">
        <v>19.48</v>
      </c>
    </row>
    <row r="338" spans="1:3">
      <c r="A338" s="6">
        <v>41270</v>
      </c>
      <c r="B338" s="7">
        <v>118.110619</v>
      </c>
      <c r="C338" s="7">
        <v>19.469999</v>
      </c>
    </row>
    <row r="339" spans="1:3">
      <c r="A339" s="6">
        <v>41271</v>
      </c>
      <c r="B339" s="7">
        <v>116.834015</v>
      </c>
      <c r="C339" s="7">
        <v>22.719999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opLeftCell="A12" workbookViewId="0">
      <selection activeCell="L156" sqref="L156"/>
    </sheetView>
  </sheetViews>
  <sheetFormatPr defaultColWidth="9" defaultRowHeight="14.25"/>
  <cols>
    <col min="1" max="1" width="13.7083333333333" customWidth="1"/>
    <col min="2" max="2" width="8.85833333333333" customWidth="1"/>
    <col min="3" max="3" width="47.2833333333333" customWidth="1"/>
    <col min="4" max="4" width="10.425" customWidth="1"/>
    <col min="5" max="5" width="4" customWidth="1"/>
    <col min="7" max="7" width="10.7083333333333" customWidth="1"/>
    <col min="8" max="9" width="19.5666666666667" customWidth="1"/>
    <col min="10" max="10" width="5.14166666666667" customWidth="1"/>
    <col min="11" max="11" width="10.7083333333333" customWidth="1"/>
    <col min="12" max="12" width="5.14166666666667" customWidth="1"/>
    <col min="13" max="13" width="10.1416666666667" customWidth="1"/>
    <col min="14" max="14" width="10.425" customWidth="1"/>
    <col min="15" max="15" width="10.7083333333333" customWidth="1"/>
    <col min="16" max="16" width="8.56666666666667" customWidth="1"/>
    <col min="17" max="17" width="6.70833333333333" customWidth="1"/>
    <col min="18" max="18" width="15.2833333333333" customWidth="1"/>
    <col min="19" max="19" width="8.70833333333333" customWidth="1"/>
    <col min="20" max="20" width="10.425" customWidth="1"/>
    <col min="21" max="21" width="6.70833333333333" customWidth="1"/>
  </cols>
  <sheetData>
    <row r="1" ht="25.5" spans="1:3">
      <c r="A1" s="1">
        <v>4</v>
      </c>
      <c r="B1" s="3" t="s">
        <v>151</v>
      </c>
      <c r="C1" s="3" t="s">
        <v>2</v>
      </c>
    </row>
    <row r="5" spans="3:3">
      <c r="C5" s="4" t="s">
        <v>175</v>
      </c>
    </row>
    <row r="6" spans="3:3">
      <c r="C6" s="4" t="s">
        <v>176</v>
      </c>
    </row>
    <row r="7" spans="3:3">
      <c r="C7" s="4" t="s">
        <v>177</v>
      </c>
    </row>
    <row r="8" spans="3:3">
      <c r="C8" s="4" t="s">
        <v>178</v>
      </c>
    </row>
    <row r="9" spans="3:3">
      <c r="C9" s="4" t="s">
        <v>179</v>
      </c>
    </row>
    <row r="10" spans="3:3">
      <c r="C10" s="4" t="s">
        <v>180</v>
      </c>
    </row>
    <row r="13" spans="3:3">
      <c r="C13" s="4" t="s">
        <v>181</v>
      </c>
    </row>
    <row r="14" spans="3:3">
      <c r="C14" s="15" t="s">
        <v>182</v>
      </c>
    </row>
    <row r="16" spans="1:1">
      <c r="A16" t="s">
        <v>95</v>
      </c>
    </row>
    <row r="17" spans="1:11">
      <c r="A17" t="s">
        <v>96</v>
      </c>
      <c r="D17" t="s">
        <v>83</v>
      </c>
      <c r="G17" t="s">
        <v>83</v>
      </c>
      <c r="K17" t="s">
        <v>90</v>
      </c>
    </row>
    <row r="18" spans="1:21">
      <c r="A18" t="s">
        <v>98</v>
      </c>
      <c r="B18" t="s">
        <v>99</v>
      </c>
      <c r="C18" t="s">
        <v>100</v>
      </c>
      <c r="D18" t="s">
        <v>88</v>
      </c>
      <c r="E18" t="s">
        <v>8</v>
      </c>
      <c r="F18" t="s">
        <v>111</v>
      </c>
      <c r="G18" t="s">
        <v>101</v>
      </c>
      <c r="H18" t="s">
        <v>183</v>
      </c>
      <c r="I18" t="s">
        <v>184</v>
      </c>
      <c r="J18" t="s">
        <v>102</v>
      </c>
      <c r="K18" t="s">
        <v>36</v>
      </c>
      <c r="L18" t="s">
        <v>102</v>
      </c>
      <c r="M18" t="s">
        <v>107</v>
      </c>
      <c r="N18" t="s">
        <v>88</v>
      </c>
      <c r="O18" t="s">
        <v>108</v>
      </c>
      <c r="P18" t="s">
        <v>57</v>
      </c>
      <c r="Q18" t="s">
        <v>87</v>
      </c>
      <c r="R18" t="s">
        <v>109</v>
      </c>
      <c r="S18" t="s">
        <v>162</v>
      </c>
      <c r="T18" t="s">
        <v>163</v>
      </c>
      <c r="U18" t="s">
        <v>103</v>
      </c>
    </row>
    <row r="19" spans="1:21">
      <c r="A19" t="s">
        <v>164</v>
      </c>
      <c r="B19" t="s">
        <v>113</v>
      </c>
      <c r="C19" t="s">
        <v>114</v>
      </c>
      <c r="D19" s="5">
        <v>123.93</v>
      </c>
      <c r="E19" s="5">
        <v>129</v>
      </c>
      <c r="F19" s="5">
        <v>0.92</v>
      </c>
      <c r="G19" s="10">
        <v>40897</v>
      </c>
      <c r="H19" s="11">
        <v>45.6323</v>
      </c>
      <c r="I19" s="11" t="s">
        <v>185</v>
      </c>
      <c r="J19" s="12">
        <v>0.395833333333333</v>
      </c>
      <c r="K19" s="13">
        <v>40929</v>
      </c>
      <c r="L19" s="12">
        <v>0.395833333333333</v>
      </c>
      <c r="M19">
        <f t="shared" ref="M19:M27" si="0">D19-F19</f>
        <v>123.01</v>
      </c>
      <c r="N19" s="14">
        <v>131.54</v>
      </c>
      <c r="O19">
        <f t="shared" ref="O19:O27" si="1">E19+F19</f>
        <v>129.92</v>
      </c>
      <c r="P19" t="str">
        <f>IF(OR(N19&gt;O19,N19&lt;M19),"loss","win")</f>
        <v>loss</v>
      </c>
      <c r="Q19" s="5">
        <v>599</v>
      </c>
      <c r="R19" t="str">
        <f>IF(T19&lt;0,"loss","win")</f>
        <v>loss</v>
      </c>
      <c r="S19" s="8">
        <f t="shared" ref="S19:S27" si="2">(N19-D19)*100</f>
        <v>760.999999999999</v>
      </c>
      <c r="T19" s="8">
        <f>Q19-S19</f>
        <v>-161.999999999999</v>
      </c>
      <c r="U19" t="s">
        <v>94</v>
      </c>
    </row>
    <row r="20" spans="1:21">
      <c r="A20" t="s">
        <v>165</v>
      </c>
      <c r="B20" t="s">
        <v>113</v>
      </c>
      <c r="C20" t="s">
        <v>114</v>
      </c>
      <c r="D20" s="5">
        <v>131.54</v>
      </c>
      <c r="E20" s="5">
        <v>135</v>
      </c>
      <c r="F20" s="5">
        <v>0.665</v>
      </c>
      <c r="G20" s="10">
        <v>40929</v>
      </c>
      <c r="H20" s="11">
        <v>40.5565</v>
      </c>
      <c r="I20" s="11" t="s">
        <v>185</v>
      </c>
      <c r="J20" s="12">
        <v>0.395833333333333</v>
      </c>
      <c r="K20" s="13">
        <v>40957</v>
      </c>
      <c r="L20" s="12">
        <v>0.395833333333333</v>
      </c>
      <c r="M20">
        <f t="shared" si="0"/>
        <v>130.875</v>
      </c>
      <c r="N20" s="14">
        <v>136.41</v>
      </c>
      <c r="O20">
        <f t="shared" si="1"/>
        <v>135.665</v>
      </c>
      <c r="P20" t="str">
        <f t="shared" ref="P20:P27" si="3">IF(OR(N20&gt;O20,N20&lt;M20),"loss","win")</f>
        <v>loss</v>
      </c>
      <c r="Q20" s="5">
        <v>412.5</v>
      </c>
      <c r="R20" t="str">
        <f t="shared" ref="R20:R27" si="4">IF(T20&lt;0,"loss","win")</f>
        <v>loss</v>
      </c>
      <c r="S20" s="8">
        <f t="shared" si="2"/>
        <v>487</v>
      </c>
      <c r="T20" s="8">
        <f t="shared" ref="T20:T27" si="5">Q20-S20</f>
        <v>-74.5000000000005</v>
      </c>
      <c r="U20" t="s">
        <v>94</v>
      </c>
    </row>
    <row r="21" spans="1:21">
      <c r="A21" t="s">
        <v>166</v>
      </c>
      <c r="B21" t="s">
        <v>113</v>
      </c>
      <c r="C21" t="s">
        <v>114</v>
      </c>
      <c r="D21" s="5">
        <v>136.41</v>
      </c>
      <c r="E21" s="5">
        <v>140</v>
      </c>
      <c r="F21" s="5">
        <v>0.61</v>
      </c>
      <c r="G21" s="10">
        <v>40957</v>
      </c>
      <c r="H21" s="11">
        <v>49.6974</v>
      </c>
      <c r="I21" s="11" t="s">
        <v>185</v>
      </c>
      <c r="J21" s="12">
        <v>0.395833333333333</v>
      </c>
      <c r="K21" s="13">
        <v>40980</v>
      </c>
      <c r="L21" s="12">
        <v>0.395833333333333</v>
      </c>
      <c r="M21">
        <f t="shared" si="0"/>
        <v>135.8</v>
      </c>
      <c r="N21" s="14">
        <v>137.58</v>
      </c>
      <c r="O21">
        <f t="shared" si="1"/>
        <v>140.61</v>
      </c>
      <c r="P21" t="str">
        <f t="shared" si="3"/>
        <v>win</v>
      </c>
      <c r="Q21" s="5">
        <v>171</v>
      </c>
      <c r="R21" t="str">
        <f t="shared" si="4"/>
        <v>win</v>
      </c>
      <c r="S21" s="8">
        <f t="shared" si="2"/>
        <v>117.000000000002</v>
      </c>
      <c r="T21" s="8">
        <f t="shared" si="5"/>
        <v>53.9999999999984</v>
      </c>
      <c r="U21" t="s">
        <v>94</v>
      </c>
    </row>
    <row r="22" spans="1:21">
      <c r="A22" t="s">
        <v>167</v>
      </c>
      <c r="B22" t="s">
        <v>113</v>
      </c>
      <c r="C22" t="s">
        <v>114</v>
      </c>
      <c r="D22" s="5">
        <v>140.85</v>
      </c>
      <c r="E22" s="5">
        <v>144</v>
      </c>
      <c r="F22" s="5">
        <v>0.92</v>
      </c>
      <c r="G22" s="10">
        <v>40987</v>
      </c>
      <c r="H22" s="11">
        <v>35.6417</v>
      </c>
      <c r="I22" s="11" t="s">
        <v>186</v>
      </c>
      <c r="J22" s="12">
        <v>0.395833333333333</v>
      </c>
      <c r="K22" s="13">
        <v>41020</v>
      </c>
      <c r="L22" s="12">
        <v>0.395833333333333</v>
      </c>
      <c r="M22">
        <f t="shared" si="0"/>
        <v>139.93</v>
      </c>
      <c r="N22" s="14">
        <v>137.95</v>
      </c>
      <c r="O22">
        <f t="shared" si="1"/>
        <v>144.92</v>
      </c>
      <c r="P22" t="str">
        <f t="shared" si="3"/>
        <v>loss</v>
      </c>
      <c r="Q22" s="5">
        <v>-214.5</v>
      </c>
      <c r="R22" t="str">
        <f t="shared" si="4"/>
        <v>win</v>
      </c>
      <c r="S22" s="8">
        <f t="shared" si="2"/>
        <v>-290.000000000001</v>
      </c>
      <c r="T22" s="8">
        <f t="shared" si="5"/>
        <v>75.5000000000006</v>
      </c>
      <c r="U22" t="s">
        <v>94</v>
      </c>
    </row>
    <row r="23" spans="1:21">
      <c r="A23" t="s">
        <v>168</v>
      </c>
      <c r="B23" t="s">
        <v>113</v>
      </c>
      <c r="C23" t="s">
        <v>114</v>
      </c>
      <c r="D23" s="5">
        <v>140.74</v>
      </c>
      <c r="E23" s="5">
        <v>145</v>
      </c>
      <c r="F23" s="5">
        <v>0.885</v>
      </c>
      <c r="G23" s="10">
        <v>41030</v>
      </c>
      <c r="H23" s="11">
        <v>50.3814</v>
      </c>
      <c r="I23" s="11" t="s">
        <v>185</v>
      </c>
      <c r="J23" s="12">
        <v>0.395833333333333</v>
      </c>
      <c r="K23" s="13">
        <v>41075</v>
      </c>
      <c r="L23" s="12">
        <v>0.395833333333333</v>
      </c>
      <c r="M23">
        <f t="shared" si="0"/>
        <v>139.855</v>
      </c>
      <c r="N23" s="14">
        <v>134.14</v>
      </c>
      <c r="O23">
        <f t="shared" si="1"/>
        <v>145.885</v>
      </c>
      <c r="P23" t="str">
        <f t="shared" si="3"/>
        <v>loss</v>
      </c>
      <c r="Q23" s="5">
        <v>-572</v>
      </c>
      <c r="R23" t="str">
        <f t="shared" si="4"/>
        <v>win</v>
      </c>
      <c r="S23" s="8">
        <f t="shared" si="2"/>
        <v>-660.000000000002</v>
      </c>
      <c r="T23" s="8">
        <f t="shared" si="5"/>
        <v>88.0000000000023</v>
      </c>
      <c r="U23" t="s">
        <v>94</v>
      </c>
    </row>
    <row r="24" spans="1:21">
      <c r="A24" t="s">
        <v>169</v>
      </c>
      <c r="B24" t="s">
        <v>113</v>
      </c>
      <c r="C24" t="s">
        <v>114</v>
      </c>
      <c r="D24" s="5">
        <v>132.44</v>
      </c>
      <c r="E24" s="5">
        <v>137</v>
      </c>
      <c r="F24" s="5">
        <v>0.695</v>
      </c>
      <c r="G24" s="10">
        <v>41081</v>
      </c>
      <c r="H24" s="11">
        <v>42.4969</v>
      </c>
      <c r="I24" s="11" t="s">
        <v>185</v>
      </c>
      <c r="J24" s="12">
        <v>0.395833333333333</v>
      </c>
      <c r="K24" s="13">
        <v>41111</v>
      </c>
      <c r="L24" s="12">
        <v>0.395833333333333</v>
      </c>
      <c r="M24">
        <f t="shared" si="0"/>
        <v>131.745</v>
      </c>
      <c r="N24" s="14">
        <v>136.47</v>
      </c>
      <c r="O24">
        <f t="shared" si="1"/>
        <v>137.695</v>
      </c>
      <c r="P24" t="str">
        <f t="shared" si="3"/>
        <v>win</v>
      </c>
      <c r="Q24" s="5">
        <v>472.5</v>
      </c>
      <c r="R24" t="str">
        <f t="shared" si="4"/>
        <v>win</v>
      </c>
      <c r="S24" s="8">
        <f t="shared" si="2"/>
        <v>403</v>
      </c>
      <c r="T24" s="8">
        <f t="shared" si="5"/>
        <v>69.4999999999999</v>
      </c>
      <c r="U24" t="s">
        <v>94</v>
      </c>
    </row>
    <row r="25" spans="1:21">
      <c r="A25" t="s">
        <v>170</v>
      </c>
      <c r="B25" t="s">
        <v>113</v>
      </c>
      <c r="C25" t="s">
        <v>114</v>
      </c>
      <c r="D25" s="5">
        <v>140.32</v>
      </c>
      <c r="E25" s="5">
        <v>145</v>
      </c>
      <c r="F25" s="5">
        <v>0.84</v>
      </c>
      <c r="G25" s="10">
        <v>41128</v>
      </c>
      <c r="H25" s="11">
        <v>44.8684</v>
      </c>
      <c r="I25" s="11" t="s">
        <v>185</v>
      </c>
      <c r="J25" s="12">
        <v>0.395833333333333</v>
      </c>
      <c r="K25" s="13">
        <v>41164</v>
      </c>
      <c r="L25" s="12">
        <v>0.395833333333333</v>
      </c>
      <c r="M25">
        <f t="shared" si="0"/>
        <v>139.48</v>
      </c>
      <c r="N25" s="14">
        <v>144.39</v>
      </c>
      <c r="O25">
        <f t="shared" si="1"/>
        <v>145.84</v>
      </c>
      <c r="P25" t="str">
        <f t="shared" si="3"/>
        <v>win</v>
      </c>
      <c r="Q25" s="5">
        <v>397</v>
      </c>
      <c r="R25" t="str">
        <f t="shared" si="4"/>
        <v>loss</v>
      </c>
      <c r="S25" s="8">
        <f t="shared" si="2"/>
        <v>406.999999999999</v>
      </c>
      <c r="T25" s="8">
        <f t="shared" si="5"/>
        <v>-9.99999999999932</v>
      </c>
      <c r="U25" t="s">
        <v>94</v>
      </c>
    </row>
    <row r="26" spans="1:21">
      <c r="A26" t="s">
        <v>171</v>
      </c>
      <c r="B26" t="s">
        <v>113</v>
      </c>
      <c r="C26" t="s">
        <v>114</v>
      </c>
      <c r="D26" s="5">
        <v>145.645</v>
      </c>
      <c r="E26" s="5">
        <v>149</v>
      </c>
      <c r="F26" s="5">
        <v>0.435</v>
      </c>
      <c r="G26" s="10">
        <v>41176</v>
      </c>
      <c r="H26" s="11">
        <v>30.0694</v>
      </c>
      <c r="I26" s="11" t="s">
        <v>186</v>
      </c>
      <c r="J26" s="12">
        <v>0.395833333333333</v>
      </c>
      <c r="K26" s="13">
        <v>41202</v>
      </c>
      <c r="L26" s="12">
        <v>0.395833333333333</v>
      </c>
      <c r="M26">
        <f t="shared" si="0"/>
        <v>145.21</v>
      </c>
      <c r="N26" s="14">
        <v>145.82</v>
      </c>
      <c r="O26">
        <f t="shared" si="1"/>
        <v>149.435</v>
      </c>
      <c r="P26" t="str">
        <f t="shared" si="3"/>
        <v>win</v>
      </c>
      <c r="Q26" s="5">
        <v>61</v>
      </c>
      <c r="R26" t="str">
        <f t="shared" si="4"/>
        <v>win</v>
      </c>
      <c r="S26" s="8">
        <f t="shared" si="2"/>
        <v>17.4999999999983</v>
      </c>
      <c r="T26" s="8">
        <f t="shared" si="5"/>
        <v>43.5000000000017</v>
      </c>
      <c r="U26" t="s">
        <v>94</v>
      </c>
    </row>
    <row r="27" spans="1:21">
      <c r="A27" t="s">
        <v>172</v>
      </c>
      <c r="B27" t="s">
        <v>113</v>
      </c>
      <c r="C27" t="s">
        <v>114</v>
      </c>
      <c r="D27" s="5">
        <v>142.96</v>
      </c>
      <c r="E27" s="5">
        <v>148</v>
      </c>
      <c r="F27" s="5">
        <v>0.9</v>
      </c>
      <c r="G27" s="10">
        <v>41219</v>
      </c>
      <c r="H27" s="11">
        <v>50.2389</v>
      </c>
      <c r="I27" s="11" t="s">
        <v>185</v>
      </c>
      <c r="J27" s="12">
        <v>0.395833333333333</v>
      </c>
      <c r="K27" s="13">
        <v>41255</v>
      </c>
      <c r="L27" s="12">
        <v>0.395833333333333</v>
      </c>
      <c r="M27">
        <f t="shared" si="0"/>
        <v>142.06</v>
      </c>
      <c r="N27" s="14">
        <v>143.51</v>
      </c>
      <c r="O27">
        <f t="shared" si="1"/>
        <v>148.9</v>
      </c>
      <c r="P27" t="str">
        <f t="shared" si="3"/>
        <v>win</v>
      </c>
      <c r="Q27" s="5">
        <v>138</v>
      </c>
      <c r="R27" t="str">
        <f t="shared" si="4"/>
        <v>win</v>
      </c>
      <c r="S27" s="8">
        <f t="shared" si="2"/>
        <v>54.9999999999983</v>
      </c>
      <c r="T27" s="8">
        <f t="shared" si="5"/>
        <v>83.0000000000017</v>
      </c>
      <c r="U27" t="s">
        <v>94</v>
      </c>
    </row>
    <row r="32" spans="3:3">
      <c r="C32" t="s">
        <v>187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opLeftCell="B6" workbookViewId="0">
      <selection activeCell="L156" sqref="L156"/>
    </sheetView>
  </sheetViews>
  <sheetFormatPr defaultColWidth="9" defaultRowHeight="14.25"/>
  <cols>
    <col min="2" max="2" width="11.5666666666667" customWidth="1"/>
    <col min="12" max="12" width="10.8583333333333" customWidth="1"/>
    <col min="14" max="14" width="21.2833333333333" customWidth="1"/>
    <col min="17" max="17" width="10.425" customWidth="1"/>
  </cols>
  <sheetData>
    <row r="1" ht="15" spans="1:3">
      <c r="A1" s="1">
        <v>5</v>
      </c>
      <c r="B1" s="3" t="s">
        <v>151</v>
      </c>
      <c r="C1" s="3" t="s">
        <v>8</v>
      </c>
    </row>
    <row r="5" spans="2:2">
      <c r="B5" s="4" t="s">
        <v>188</v>
      </c>
    </row>
    <row r="6" spans="2:6">
      <c r="B6" s="4"/>
      <c r="F6" s="4" t="s">
        <v>181</v>
      </c>
    </row>
    <row r="7" spans="2:6">
      <c r="B7" s="4" t="s">
        <v>189</v>
      </c>
      <c r="F7" s="15" t="s">
        <v>182</v>
      </c>
    </row>
    <row r="13" spans="2:2">
      <c r="B13" t="s">
        <v>157</v>
      </c>
    </row>
    <row r="14" spans="2:3">
      <c r="B14" t="s">
        <v>2</v>
      </c>
      <c r="C14" t="s">
        <v>3</v>
      </c>
    </row>
    <row r="15" spans="2:3">
      <c r="B15" t="s">
        <v>4</v>
      </c>
      <c r="C15" t="s">
        <v>158</v>
      </c>
    </row>
    <row r="16" spans="2:3">
      <c r="B16" t="s">
        <v>6</v>
      </c>
      <c r="C16" t="s">
        <v>7</v>
      </c>
    </row>
    <row r="17" spans="2:3">
      <c r="B17" t="s">
        <v>8</v>
      </c>
      <c r="C17" t="s">
        <v>190</v>
      </c>
    </row>
    <row r="18" spans="3:3">
      <c r="C18" t="s">
        <v>191</v>
      </c>
    </row>
    <row r="19" spans="3:3">
      <c r="C19" t="s">
        <v>192</v>
      </c>
    </row>
    <row r="21" spans="2:6">
      <c r="B21" t="s">
        <v>159</v>
      </c>
      <c r="F21" t="s">
        <v>95</v>
      </c>
    </row>
    <row r="22" spans="2:17">
      <c r="B22" s="6">
        <v>40933</v>
      </c>
      <c r="F22" t="s">
        <v>96</v>
      </c>
      <c r="I22" t="s">
        <v>83</v>
      </c>
      <c r="L22" t="s">
        <v>83</v>
      </c>
      <c r="Q22" t="s">
        <v>90</v>
      </c>
    </row>
    <row r="23" spans="2:27">
      <c r="B23" s="6">
        <v>40981</v>
      </c>
      <c r="F23" t="s">
        <v>98</v>
      </c>
      <c r="G23" t="s">
        <v>99</v>
      </c>
      <c r="H23" t="s">
        <v>100</v>
      </c>
      <c r="I23" t="s">
        <v>88</v>
      </c>
      <c r="J23" t="s">
        <v>8</v>
      </c>
      <c r="K23" t="s">
        <v>111</v>
      </c>
      <c r="L23" t="s">
        <v>101</v>
      </c>
      <c r="M23" t="s">
        <v>183</v>
      </c>
      <c r="N23" t="s">
        <v>184</v>
      </c>
      <c r="O23" t="s">
        <v>193</v>
      </c>
      <c r="P23" t="s">
        <v>102</v>
      </c>
      <c r="Q23" t="s">
        <v>36</v>
      </c>
      <c r="R23" t="s">
        <v>102</v>
      </c>
      <c r="S23" t="s">
        <v>107</v>
      </c>
      <c r="T23" t="s">
        <v>88</v>
      </c>
      <c r="U23" t="s">
        <v>108</v>
      </c>
      <c r="V23" t="s">
        <v>57</v>
      </c>
      <c r="W23" t="s">
        <v>87</v>
      </c>
      <c r="X23" t="s">
        <v>109</v>
      </c>
      <c r="Y23" t="s">
        <v>162</v>
      </c>
      <c r="Z23" t="s">
        <v>163</v>
      </c>
      <c r="AA23" t="s">
        <v>103</v>
      </c>
    </row>
    <row r="24" spans="2:27">
      <c r="B24" s="6">
        <v>41024</v>
      </c>
      <c r="F24">
        <v>1</v>
      </c>
      <c r="G24" t="s">
        <v>113</v>
      </c>
      <c r="H24" t="s">
        <v>114</v>
      </c>
      <c r="I24" s="5">
        <v>121.59</v>
      </c>
      <c r="J24" s="5">
        <v>129</v>
      </c>
      <c r="K24" s="5">
        <v>0.785</v>
      </c>
      <c r="L24" s="10">
        <v>40893</v>
      </c>
      <c r="M24" s="11">
        <v>53.8716</v>
      </c>
      <c r="N24" s="11" t="s">
        <v>185</v>
      </c>
      <c r="O24" s="11">
        <v>0.2</v>
      </c>
      <c r="P24" s="12">
        <v>0.395833333333333</v>
      </c>
      <c r="Q24" s="13">
        <v>40929</v>
      </c>
      <c r="R24" s="12">
        <v>0.395833333333333</v>
      </c>
      <c r="S24">
        <f t="shared" ref="S24:S31" si="0">I24-K24</f>
        <v>120.805</v>
      </c>
      <c r="T24" s="14">
        <v>131.54</v>
      </c>
      <c r="U24">
        <f t="shared" ref="U24:U31" si="1">J24+K24</f>
        <v>129.785</v>
      </c>
      <c r="V24" t="str">
        <f t="shared" ref="V24:V31" si="2">IF(OR(T24&gt;U24,T24&lt;S24),"loss","win")</f>
        <v>loss</v>
      </c>
      <c r="W24" s="5">
        <v>719.5</v>
      </c>
      <c r="X24" t="str">
        <f t="shared" ref="X24:X31" si="3">IF(Z24&lt;0,"loss","win")</f>
        <v>loss</v>
      </c>
      <c r="Y24" s="8">
        <f t="shared" ref="Y24:Y31" si="4">(T24-I24)*100</f>
        <v>994.999999999999</v>
      </c>
      <c r="Z24" s="8">
        <f t="shared" ref="Z24:Z31" si="5">W24-Y24</f>
        <v>-275.499999999999</v>
      </c>
      <c r="AA24" t="s">
        <v>94</v>
      </c>
    </row>
    <row r="25" spans="2:27">
      <c r="B25" s="6">
        <v>41080</v>
      </c>
      <c r="F25">
        <v>2</v>
      </c>
      <c r="G25" t="s">
        <v>113</v>
      </c>
      <c r="H25" t="s">
        <v>114</v>
      </c>
      <c r="I25" s="5">
        <v>132.47</v>
      </c>
      <c r="J25" s="5">
        <v>138</v>
      </c>
      <c r="K25" s="5">
        <v>0.71</v>
      </c>
      <c r="L25" s="10">
        <v>40940</v>
      </c>
      <c r="M25" s="11">
        <v>48.5227</v>
      </c>
      <c r="N25" s="11" t="s">
        <v>185</v>
      </c>
      <c r="O25" s="11">
        <v>0.2</v>
      </c>
      <c r="P25" s="12">
        <v>0.395833333333333</v>
      </c>
      <c r="Q25" s="13">
        <v>40980</v>
      </c>
      <c r="R25" s="12">
        <v>0.395833333333333</v>
      </c>
      <c r="S25">
        <f t="shared" si="0"/>
        <v>131.76</v>
      </c>
      <c r="T25" s="14">
        <v>137.58</v>
      </c>
      <c r="U25">
        <f t="shared" si="1"/>
        <v>138.71</v>
      </c>
      <c r="V25" t="str">
        <f t="shared" si="2"/>
        <v>win</v>
      </c>
      <c r="W25" s="5">
        <v>531</v>
      </c>
      <c r="X25" t="str">
        <f t="shared" si="3"/>
        <v>win</v>
      </c>
      <c r="Y25" s="8">
        <f t="shared" si="4"/>
        <v>511.000000000001</v>
      </c>
      <c r="Z25" s="8">
        <f t="shared" si="5"/>
        <v>19.9999999999986</v>
      </c>
      <c r="AA25" t="s">
        <v>94</v>
      </c>
    </row>
    <row r="26" spans="2:27">
      <c r="B26" s="6">
        <v>41121</v>
      </c>
      <c r="F26">
        <v>3</v>
      </c>
      <c r="G26" t="s">
        <v>113</v>
      </c>
      <c r="H26" t="s">
        <v>114</v>
      </c>
      <c r="I26" s="5">
        <v>141.26</v>
      </c>
      <c r="J26" s="5">
        <v>143</v>
      </c>
      <c r="K26" s="5">
        <v>1.895</v>
      </c>
      <c r="L26" s="10">
        <v>41002</v>
      </c>
      <c r="M26" s="11">
        <v>59.6707</v>
      </c>
      <c r="N26" s="11" t="s">
        <v>181</v>
      </c>
      <c r="O26" s="11">
        <v>0.4</v>
      </c>
      <c r="P26" s="12">
        <v>0.395833333333333</v>
      </c>
      <c r="Q26" s="13">
        <v>41023</v>
      </c>
      <c r="R26" s="12">
        <v>0.395833333333333</v>
      </c>
      <c r="S26">
        <f t="shared" si="0"/>
        <v>139.365</v>
      </c>
      <c r="T26" s="14">
        <v>137.31</v>
      </c>
      <c r="U26">
        <f t="shared" si="1"/>
        <v>144.895</v>
      </c>
      <c r="V26" t="str">
        <f t="shared" si="2"/>
        <v>loss</v>
      </c>
      <c r="W26" s="5">
        <v>-232.5</v>
      </c>
      <c r="X26" t="str">
        <f t="shared" si="3"/>
        <v>win</v>
      </c>
      <c r="Y26" s="8">
        <f t="shared" si="4"/>
        <v>-394.999999999999</v>
      </c>
      <c r="Z26" s="8">
        <f t="shared" si="5"/>
        <v>162.499999999999</v>
      </c>
      <c r="AA26" t="s">
        <v>94</v>
      </c>
    </row>
    <row r="27" spans="2:27">
      <c r="B27" s="6">
        <v>41165</v>
      </c>
      <c r="F27">
        <v>4</v>
      </c>
      <c r="G27" t="s">
        <v>113</v>
      </c>
      <c r="H27" t="s">
        <v>114</v>
      </c>
      <c r="I27" s="5">
        <v>140.325</v>
      </c>
      <c r="J27" s="5">
        <v>145</v>
      </c>
      <c r="K27" s="5">
        <v>0.805</v>
      </c>
      <c r="L27" s="10">
        <v>41031</v>
      </c>
      <c r="M27" s="11">
        <v>49.2788</v>
      </c>
      <c r="N27" s="11" t="s">
        <v>185</v>
      </c>
      <c r="O27" s="11">
        <v>0.2</v>
      </c>
      <c r="P27" s="12">
        <v>0.395833333333333</v>
      </c>
      <c r="Q27" s="13">
        <v>41074</v>
      </c>
      <c r="R27" s="12">
        <v>0.395833333333333</v>
      </c>
      <c r="S27">
        <f t="shared" si="0"/>
        <v>139.52</v>
      </c>
      <c r="T27" s="14">
        <v>133.47</v>
      </c>
      <c r="U27">
        <f t="shared" si="1"/>
        <v>145.805</v>
      </c>
      <c r="V27" t="str">
        <f t="shared" si="2"/>
        <v>loss</v>
      </c>
      <c r="W27" s="5">
        <v>-605.5</v>
      </c>
      <c r="X27" t="str">
        <f t="shared" si="3"/>
        <v>win</v>
      </c>
      <c r="Y27" s="8">
        <f t="shared" si="4"/>
        <v>-685.499999999999</v>
      </c>
      <c r="Z27" s="8">
        <f t="shared" si="5"/>
        <v>79.999999999999</v>
      </c>
      <c r="AA27" t="s">
        <v>94</v>
      </c>
    </row>
    <row r="28" spans="2:27">
      <c r="B28" s="6">
        <v>41206</v>
      </c>
      <c r="F28">
        <v>5</v>
      </c>
      <c r="G28" t="s">
        <v>113</v>
      </c>
      <c r="H28" t="s">
        <v>114</v>
      </c>
      <c r="I28" s="5">
        <v>132.44</v>
      </c>
      <c r="J28" s="5">
        <v>137</v>
      </c>
      <c r="K28" s="5">
        <v>0.695</v>
      </c>
      <c r="L28" s="10">
        <v>41081</v>
      </c>
      <c r="M28" s="11">
        <v>42.49</v>
      </c>
      <c r="N28" s="11" t="s">
        <v>185</v>
      </c>
      <c r="O28" s="11">
        <v>0.2</v>
      </c>
      <c r="P28" s="12">
        <v>0.395833333333333</v>
      </c>
      <c r="Q28" s="13">
        <v>41111</v>
      </c>
      <c r="R28" s="12">
        <v>0.395833333333333</v>
      </c>
      <c r="S28">
        <f t="shared" si="0"/>
        <v>131.745</v>
      </c>
      <c r="T28" s="14">
        <v>136.47</v>
      </c>
      <c r="U28">
        <f t="shared" si="1"/>
        <v>137.695</v>
      </c>
      <c r="V28" t="str">
        <f t="shared" si="2"/>
        <v>win</v>
      </c>
      <c r="W28" s="5">
        <v>472.5</v>
      </c>
      <c r="X28" t="str">
        <f t="shared" si="3"/>
        <v>win</v>
      </c>
      <c r="Y28" s="8">
        <f t="shared" si="4"/>
        <v>403</v>
      </c>
      <c r="Z28" s="8">
        <f t="shared" si="5"/>
        <v>69.4999999999999</v>
      </c>
      <c r="AA28" t="s">
        <v>94</v>
      </c>
    </row>
    <row r="29" spans="2:27">
      <c r="B29" s="6">
        <v>41255</v>
      </c>
      <c r="F29">
        <v>6</v>
      </c>
      <c r="G29" t="s">
        <v>113</v>
      </c>
      <c r="H29" t="s">
        <v>114</v>
      </c>
      <c r="I29" s="5">
        <v>140.32</v>
      </c>
      <c r="J29" s="5">
        <v>146</v>
      </c>
      <c r="K29" s="5">
        <v>0.61</v>
      </c>
      <c r="L29" s="10">
        <v>41128</v>
      </c>
      <c r="M29" s="11">
        <v>44.8684</v>
      </c>
      <c r="N29" s="11" t="s">
        <v>185</v>
      </c>
      <c r="O29" s="11">
        <v>0.2</v>
      </c>
      <c r="P29" s="12">
        <v>0.395833333333333</v>
      </c>
      <c r="Q29" s="13">
        <v>41164</v>
      </c>
      <c r="R29" s="12">
        <v>0.395833333333333</v>
      </c>
      <c r="S29">
        <f t="shared" si="0"/>
        <v>139.71</v>
      </c>
      <c r="T29" s="14">
        <v>144.39</v>
      </c>
      <c r="U29">
        <f t="shared" si="1"/>
        <v>146.61</v>
      </c>
      <c r="V29" t="str">
        <f t="shared" si="2"/>
        <v>win</v>
      </c>
      <c r="W29" s="5">
        <v>415.5</v>
      </c>
      <c r="X29" t="str">
        <f t="shared" si="3"/>
        <v>win</v>
      </c>
      <c r="Y29" s="8">
        <f t="shared" si="4"/>
        <v>406.999999999999</v>
      </c>
      <c r="Z29" s="8">
        <f t="shared" si="5"/>
        <v>8.50000000000068</v>
      </c>
      <c r="AA29" t="s">
        <v>94</v>
      </c>
    </row>
    <row r="30" spans="6:27">
      <c r="F30">
        <v>7</v>
      </c>
      <c r="G30" t="s">
        <v>113</v>
      </c>
      <c r="H30" t="s">
        <v>114</v>
      </c>
      <c r="I30" s="5">
        <v>144.5</v>
      </c>
      <c r="J30" s="5">
        <v>150</v>
      </c>
      <c r="K30" s="5">
        <v>0.62</v>
      </c>
      <c r="L30" s="10">
        <v>41184</v>
      </c>
      <c r="M30" s="11">
        <v>49.3</v>
      </c>
      <c r="N30" s="11" t="s">
        <v>185</v>
      </c>
      <c r="O30" s="11">
        <v>0.2</v>
      </c>
      <c r="P30" s="12">
        <v>0.395833333333333</v>
      </c>
      <c r="Q30" s="13">
        <v>41205</v>
      </c>
      <c r="R30" s="12">
        <v>0.395833333333333</v>
      </c>
      <c r="S30">
        <f t="shared" si="0"/>
        <v>143.88</v>
      </c>
      <c r="T30" s="14">
        <v>141.42</v>
      </c>
      <c r="U30">
        <f t="shared" si="1"/>
        <v>150.62</v>
      </c>
      <c r="V30" t="str">
        <f t="shared" si="2"/>
        <v>loss</v>
      </c>
      <c r="W30" s="5">
        <v>-256</v>
      </c>
      <c r="X30" t="str">
        <f t="shared" si="3"/>
        <v>win</v>
      </c>
      <c r="Y30" s="8">
        <f t="shared" si="4"/>
        <v>-308.000000000001</v>
      </c>
      <c r="Z30" s="8">
        <f t="shared" si="5"/>
        <v>52.0000000000013</v>
      </c>
      <c r="AA30" t="s">
        <v>94</v>
      </c>
    </row>
    <row r="31" spans="6:27">
      <c r="F31">
        <v>8</v>
      </c>
      <c r="G31" t="s">
        <v>113</v>
      </c>
      <c r="H31" t="s">
        <v>114</v>
      </c>
      <c r="I31" s="5">
        <v>142.96</v>
      </c>
      <c r="J31" s="5">
        <v>149</v>
      </c>
      <c r="K31" s="5">
        <v>0.66</v>
      </c>
      <c r="L31" s="10">
        <v>41219</v>
      </c>
      <c r="M31" s="11">
        <v>50.2389</v>
      </c>
      <c r="N31" s="11" t="s">
        <v>185</v>
      </c>
      <c r="O31" s="11">
        <v>0.2</v>
      </c>
      <c r="P31" s="12">
        <v>0.395833333333333</v>
      </c>
      <c r="Q31" s="13">
        <v>41254</v>
      </c>
      <c r="R31" s="12">
        <v>0.395833333333333</v>
      </c>
      <c r="S31">
        <f t="shared" si="0"/>
        <v>142.3</v>
      </c>
      <c r="T31" s="14">
        <v>143.44</v>
      </c>
      <c r="U31">
        <f t="shared" si="1"/>
        <v>149.66</v>
      </c>
      <c r="V31" t="str">
        <f t="shared" si="2"/>
        <v>win</v>
      </c>
      <c r="W31" s="5">
        <v>108.5</v>
      </c>
      <c r="X31" t="str">
        <f t="shared" si="3"/>
        <v>win</v>
      </c>
      <c r="Y31" s="8">
        <f t="shared" si="4"/>
        <v>47.999999999999</v>
      </c>
      <c r="Z31" s="8">
        <f t="shared" si="5"/>
        <v>60.500000000001</v>
      </c>
      <c r="AA31" t="s">
        <v>94</v>
      </c>
    </row>
    <row r="32" spans="2:2">
      <c r="B32" t="s">
        <v>160</v>
      </c>
    </row>
    <row r="33" spans="2:2">
      <c r="B33" s="6">
        <v>40893</v>
      </c>
    </row>
    <row r="34" spans="2:2">
      <c r="B34" s="6">
        <v>40984</v>
      </c>
    </row>
    <row r="35" spans="2:2">
      <c r="B35" s="6">
        <v>41075</v>
      </c>
    </row>
    <row r="36" spans="2:2">
      <c r="B36" s="6">
        <v>41173</v>
      </c>
    </row>
    <row r="37" spans="2:2">
      <c r="B37" s="6">
        <v>41264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opLeftCell="A21" workbookViewId="0">
      <selection activeCell="L156" sqref="L156"/>
    </sheetView>
  </sheetViews>
  <sheetFormatPr defaultColWidth="9" defaultRowHeight="14.25"/>
  <cols>
    <col min="4" max="4" width="9.70833333333333" customWidth="1"/>
    <col min="5" max="6" width="10.5666666666667" customWidth="1"/>
    <col min="9" max="9" width="11" customWidth="1"/>
    <col min="11" max="11" width="16.2833333333333" customWidth="1"/>
    <col min="15" max="15" width="10.425" customWidth="1"/>
    <col min="17" max="19" width="9.28333333333333" customWidth="1"/>
    <col min="21" max="21" width="10.2833333333333" customWidth="1"/>
    <col min="23" max="24" width="10.425" customWidth="1"/>
  </cols>
  <sheetData>
    <row r="1" ht="25.5" spans="1:3">
      <c r="A1" s="1">
        <v>6</v>
      </c>
      <c r="B1" s="3" t="s">
        <v>151</v>
      </c>
      <c r="C1" s="3" t="s">
        <v>6</v>
      </c>
    </row>
    <row r="3" spans="1:2">
      <c r="A3" t="s">
        <v>194</v>
      </c>
      <c r="B3" s="4" t="s">
        <v>195</v>
      </c>
    </row>
    <row r="4" spans="2:2">
      <c r="B4" s="4" t="s">
        <v>196</v>
      </c>
    </row>
    <row r="5" spans="2:2">
      <c r="B5" s="4" t="s">
        <v>197</v>
      </c>
    </row>
    <row r="6" spans="2:2">
      <c r="B6" s="4" t="s">
        <v>198</v>
      </c>
    </row>
    <row r="7" spans="2:2">
      <c r="B7" s="4" t="s">
        <v>199</v>
      </c>
    </row>
    <row r="8" spans="2:2">
      <c r="B8" s="4" t="s">
        <v>200</v>
      </c>
    </row>
    <row r="9" spans="2:2">
      <c r="B9" s="4" t="s">
        <v>201</v>
      </c>
    </row>
    <row r="10" spans="11:11">
      <c r="K10" t="s">
        <v>202</v>
      </c>
    </row>
    <row r="11" spans="11:11">
      <c r="K11" s="6">
        <v>40932</v>
      </c>
    </row>
    <row r="12" spans="1:11">
      <c r="A12" t="s">
        <v>157</v>
      </c>
      <c r="K12" s="6">
        <v>41023</v>
      </c>
    </row>
    <row r="13" spans="1:11">
      <c r="A13" t="s">
        <v>2</v>
      </c>
      <c r="B13" t="s">
        <v>194</v>
      </c>
      <c r="K13" s="6">
        <v>41114</v>
      </c>
    </row>
    <row r="14" spans="1:11">
      <c r="A14" t="s">
        <v>4</v>
      </c>
      <c r="B14" t="s">
        <v>158</v>
      </c>
      <c r="K14" s="6">
        <v>41207</v>
      </c>
    </row>
    <row r="15" spans="1:11">
      <c r="A15" t="s">
        <v>6</v>
      </c>
      <c r="B15" t="s">
        <v>203</v>
      </c>
      <c r="K15" s="6">
        <v>41297</v>
      </c>
    </row>
    <row r="16" spans="1:2">
      <c r="A16" t="s">
        <v>8</v>
      </c>
      <c r="B16" t="s">
        <v>190</v>
      </c>
    </row>
    <row r="17" spans="2:2">
      <c r="B17" t="s">
        <v>204</v>
      </c>
    </row>
    <row r="18" spans="2:2">
      <c r="B18" t="s">
        <v>192</v>
      </c>
    </row>
    <row r="21" spans="3:3">
      <c r="C21" t="s">
        <v>95</v>
      </c>
    </row>
    <row r="22" spans="3:15">
      <c r="C22" t="s">
        <v>96</v>
      </c>
      <c r="F22" t="s">
        <v>83</v>
      </c>
      <c r="I22" t="s">
        <v>83</v>
      </c>
      <c r="O22" t="s">
        <v>90</v>
      </c>
    </row>
    <row r="23" spans="3:25">
      <c r="C23" t="s">
        <v>98</v>
      </c>
      <c r="D23" t="s">
        <v>99</v>
      </c>
      <c r="E23" t="s">
        <v>100</v>
      </c>
      <c r="F23" t="s">
        <v>88</v>
      </c>
      <c r="G23" t="s">
        <v>8</v>
      </c>
      <c r="H23" t="s">
        <v>111</v>
      </c>
      <c r="I23" t="s">
        <v>101</v>
      </c>
      <c r="J23" t="s">
        <v>183</v>
      </c>
      <c r="K23" t="s">
        <v>184</v>
      </c>
      <c r="L23" t="s">
        <v>193</v>
      </c>
      <c r="M23" t="s">
        <v>205</v>
      </c>
      <c r="N23" t="s">
        <v>102</v>
      </c>
      <c r="O23" t="s">
        <v>36</v>
      </c>
      <c r="P23" t="s">
        <v>102</v>
      </c>
      <c r="Q23" t="s">
        <v>107</v>
      </c>
      <c r="R23" t="s">
        <v>88</v>
      </c>
      <c r="S23" t="s">
        <v>108</v>
      </c>
      <c r="T23" t="s">
        <v>57</v>
      </c>
      <c r="U23" t="s">
        <v>87</v>
      </c>
      <c r="V23" t="s">
        <v>109</v>
      </c>
      <c r="W23" t="s">
        <v>162</v>
      </c>
      <c r="X23" t="s">
        <v>163</v>
      </c>
      <c r="Y23" t="s">
        <v>103</v>
      </c>
    </row>
    <row r="24" spans="3:25">
      <c r="C24">
        <v>1</v>
      </c>
      <c r="D24" t="s">
        <v>113</v>
      </c>
      <c r="E24" t="s">
        <v>114</v>
      </c>
      <c r="F24" s="5">
        <v>545.17</v>
      </c>
      <c r="G24" s="5">
        <v>590</v>
      </c>
      <c r="H24" s="5">
        <v>5.575</v>
      </c>
      <c r="I24" s="10">
        <v>40977</v>
      </c>
      <c r="J24" s="11">
        <v>47.2096</v>
      </c>
      <c r="K24" s="11" t="s">
        <v>185</v>
      </c>
      <c r="L24" s="11">
        <v>0.2</v>
      </c>
      <c r="M24" s="11">
        <v>26.91</v>
      </c>
      <c r="N24" s="12">
        <v>0.395833333333333</v>
      </c>
      <c r="O24" s="13">
        <v>41020</v>
      </c>
      <c r="P24" s="12">
        <v>0.395833333333333</v>
      </c>
      <c r="Q24" s="7">
        <f>F24-H24</f>
        <v>539.595</v>
      </c>
      <c r="R24" s="14">
        <v>572.98</v>
      </c>
      <c r="S24" s="7">
        <f>G24+H24</f>
        <v>595.575</v>
      </c>
      <c r="T24" s="7" t="str">
        <f>IF(OR(R24&gt;S24,R24&lt;Q24),"loss","win")</f>
        <v>win</v>
      </c>
      <c r="U24" s="14">
        <v>3338.5</v>
      </c>
      <c r="V24" s="7" t="str">
        <f>IF(X24&lt;0,"loss","win")</f>
        <v>win</v>
      </c>
      <c r="W24" s="7">
        <f>(R24-F24)*100</f>
        <v>2781.00000000001</v>
      </c>
      <c r="X24" s="7">
        <f>U24-W24</f>
        <v>557.499999999994</v>
      </c>
      <c r="Y24" t="s">
        <v>94</v>
      </c>
    </row>
    <row r="25" spans="3:25">
      <c r="C25">
        <v>2</v>
      </c>
      <c r="D25" t="s">
        <v>113</v>
      </c>
      <c r="E25" t="s">
        <v>114</v>
      </c>
      <c r="F25" s="5">
        <v>582.13</v>
      </c>
      <c r="G25" s="5">
        <v>615</v>
      </c>
      <c r="H25" s="5">
        <v>6.85</v>
      </c>
      <c r="I25" s="10">
        <v>41030</v>
      </c>
      <c r="J25" s="11">
        <v>54.0074</v>
      </c>
      <c r="K25" s="11" t="s">
        <v>185</v>
      </c>
      <c r="L25" s="11">
        <v>0.2</v>
      </c>
      <c r="M25" s="11">
        <v>29.21</v>
      </c>
      <c r="N25" s="12">
        <v>0.395833333333333</v>
      </c>
      <c r="O25" s="13">
        <v>41076</v>
      </c>
      <c r="P25" s="12">
        <v>0.395833333333333</v>
      </c>
      <c r="Q25" s="7">
        <f>F25-H25</f>
        <v>575.28</v>
      </c>
      <c r="R25" s="14">
        <v>574.13</v>
      </c>
      <c r="S25" s="7">
        <f>G25+H25</f>
        <v>621.85</v>
      </c>
      <c r="T25" s="7" t="str">
        <f>IF(OR(R25&gt;S25,R25&lt;Q25),"loss","win")</f>
        <v>loss</v>
      </c>
      <c r="U25" s="14">
        <v>-115</v>
      </c>
      <c r="V25" s="7" t="str">
        <f>IF(X25&lt;0,"loss","win")</f>
        <v>win</v>
      </c>
      <c r="W25" s="7">
        <f>(R25-F25)*100</f>
        <v>-800</v>
      </c>
      <c r="X25" s="7">
        <f>U25-W25</f>
        <v>685</v>
      </c>
      <c r="Y25" t="s">
        <v>94</v>
      </c>
    </row>
    <row r="26" spans="3:25">
      <c r="C26">
        <v>3</v>
      </c>
      <c r="D26" t="s">
        <v>113</v>
      </c>
      <c r="E26" t="s">
        <v>114</v>
      </c>
      <c r="F26" s="5">
        <v>599.41</v>
      </c>
      <c r="G26" s="5">
        <v>655</v>
      </c>
      <c r="H26" s="5">
        <v>6.1</v>
      </c>
      <c r="I26" s="10">
        <v>41093</v>
      </c>
      <c r="J26" s="11">
        <v>49.3928</v>
      </c>
      <c r="K26" s="11" t="s">
        <v>185</v>
      </c>
      <c r="L26" s="11">
        <v>0.2</v>
      </c>
      <c r="M26" s="11">
        <v>27.91</v>
      </c>
      <c r="N26" s="12">
        <v>0.395833333333333</v>
      </c>
      <c r="O26" s="13">
        <v>41113</v>
      </c>
      <c r="P26" s="12">
        <v>0.395833333333333</v>
      </c>
      <c r="Q26" s="7">
        <f>F26-H26</f>
        <v>593.31</v>
      </c>
      <c r="R26" s="14">
        <v>603.83</v>
      </c>
      <c r="S26" s="7">
        <f>G26+H26</f>
        <v>661.1</v>
      </c>
      <c r="T26" s="7" t="str">
        <f>IF(OR(R26&gt;S26,R26&lt;Q26),"loss","win")</f>
        <v>win</v>
      </c>
      <c r="U26" s="14">
        <v>592</v>
      </c>
      <c r="V26" s="7" t="str">
        <f>IF(X26&lt;0,"loss","win")</f>
        <v>win</v>
      </c>
      <c r="W26" s="7">
        <f>(R26-F26)*100</f>
        <v>442.000000000007</v>
      </c>
      <c r="X26" s="7">
        <f>U26-W26</f>
        <v>149.999999999993</v>
      </c>
      <c r="Y26" t="s">
        <v>94</v>
      </c>
    </row>
    <row r="27" spans="3:25">
      <c r="C27">
        <v>4</v>
      </c>
      <c r="D27" t="s">
        <v>113</v>
      </c>
      <c r="E27" t="s">
        <v>114</v>
      </c>
      <c r="F27" s="5">
        <v>670.23</v>
      </c>
      <c r="G27" s="5">
        <v>730</v>
      </c>
      <c r="H27" s="5">
        <v>6.6</v>
      </c>
      <c r="I27" s="10">
        <v>41157</v>
      </c>
      <c r="J27" s="11">
        <v>46.2631</v>
      </c>
      <c r="K27" s="11" t="s">
        <v>185</v>
      </c>
      <c r="L27" s="11">
        <v>0.2</v>
      </c>
      <c r="M27" s="11">
        <v>27.14</v>
      </c>
      <c r="N27" s="12">
        <v>0.395833333333333</v>
      </c>
      <c r="O27" s="13">
        <v>41113</v>
      </c>
      <c r="P27" s="12">
        <v>0.395833333333333</v>
      </c>
      <c r="Q27" s="7">
        <f>F27-H27</f>
        <v>663.63</v>
      </c>
      <c r="R27" s="14">
        <v>632.64</v>
      </c>
      <c r="S27" s="7">
        <f>G27+H27</f>
        <v>736.6</v>
      </c>
      <c r="T27" s="7" t="str">
        <f>IF(OR(R27&gt;S27,R27&lt;Q27),"loss","win")</f>
        <v>loss</v>
      </c>
      <c r="U27" s="14">
        <v>-3099</v>
      </c>
      <c r="V27" s="7" t="str">
        <f>IF(X27&lt;0,"loss","win")</f>
        <v>win</v>
      </c>
      <c r="W27" s="7">
        <f>(R27-F27)*100</f>
        <v>-3759</v>
      </c>
      <c r="X27" s="7">
        <f>U27-W27</f>
        <v>660.000000000003</v>
      </c>
      <c r="Y27" t="s">
        <v>94</v>
      </c>
    </row>
    <row r="28" spans="3:25">
      <c r="C28">
        <v>5</v>
      </c>
      <c r="D28" t="s">
        <v>113</v>
      </c>
      <c r="E28" t="s">
        <v>114</v>
      </c>
      <c r="F28" s="5">
        <v>547.2445</v>
      </c>
      <c r="G28" s="5">
        <v>615</v>
      </c>
      <c r="H28" s="5">
        <v>6.725</v>
      </c>
      <c r="I28" s="10">
        <v>41249</v>
      </c>
      <c r="J28" s="11">
        <v>40.396</v>
      </c>
      <c r="K28" s="11" t="s">
        <v>185</v>
      </c>
      <c r="L28" s="11">
        <v>0.2</v>
      </c>
      <c r="M28" s="11">
        <v>36.1</v>
      </c>
      <c r="N28" s="12">
        <v>0.395833333333333</v>
      </c>
      <c r="O28" s="13">
        <v>41293</v>
      </c>
      <c r="P28" s="12">
        <v>0.395833333333333</v>
      </c>
      <c r="Q28" s="7">
        <f>F28-H28</f>
        <v>540.5195</v>
      </c>
      <c r="R28" s="14">
        <v>500</v>
      </c>
      <c r="S28" s="7">
        <f>G28+H28</f>
        <v>621.725</v>
      </c>
      <c r="T28" s="7" t="str">
        <f>IF(OR(R28&gt;S28,R28&lt;Q28),"loss","win")</f>
        <v>loss</v>
      </c>
      <c r="U28" s="14">
        <v>-4051.95</v>
      </c>
      <c r="V28" s="7" t="str">
        <f>IF(X28&lt;0,"loss","win")</f>
        <v>win</v>
      </c>
      <c r="W28" s="7">
        <f>(R28-F28)*100</f>
        <v>-4724.45</v>
      </c>
      <c r="X28" s="7">
        <f>U28-W28</f>
        <v>672.500000000002</v>
      </c>
      <c r="Y28" t="s">
        <v>94</v>
      </c>
    </row>
    <row r="32" spans="4:4">
      <c r="D32" t="s">
        <v>206</v>
      </c>
    </row>
    <row r="33" spans="4:6">
      <c r="D33" s="6">
        <v>40909</v>
      </c>
      <c r="E33" s="7">
        <v>405</v>
      </c>
      <c r="F33" s="8">
        <f>100*E33</f>
        <v>40500</v>
      </c>
    </row>
    <row r="34" spans="4:5">
      <c r="D34" s="6">
        <v>41293</v>
      </c>
      <c r="E34" s="7">
        <v>500</v>
      </c>
    </row>
    <row r="35" spans="4:6">
      <c r="D35" t="s">
        <v>207</v>
      </c>
      <c r="E35" s="7">
        <f>100*(E34-E33)</f>
        <v>9500</v>
      </c>
      <c r="F35" s="9">
        <f>E35/F33</f>
        <v>0.234567901234568</v>
      </c>
    </row>
    <row r="36" spans="4:6">
      <c r="D36" t="s">
        <v>113</v>
      </c>
      <c r="E36" s="8">
        <f>E35+SUM(X24:X28)</f>
        <v>12225</v>
      </c>
      <c r="F36" s="9">
        <f>E36/F33</f>
        <v>0.301851851851852</v>
      </c>
    </row>
    <row r="39" spans="5:6">
      <c r="E39" t="s">
        <v>208</v>
      </c>
      <c r="F39" t="s">
        <v>209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L156" sqref="L156"/>
    </sheetView>
  </sheetViews>
  <sheetFormatPr defaultColWidth="9" defaultRowHeight="14.25" outlineLevelCol="2"/>
  <sheetData>
    <row r="1" ht="25.5" spans="1:3">
      <c r="A1" s="1">
        <v>7</v>
      </c>
      <c r="B1" s="3" t="s">
        <v>151</v>
      </c>
      <c r="C1" s="3" t="s">
        <v>210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3">
      <c r="A1" s="1">
        <v>8</v>
      </c>
      <c r="B1" s="3" t="s">
        <v>211</v>
      </c>
      <c r="C1" t="s">
        <v>91</v>
      </c>
    </row>
    <row r="6" spans="3:3">
      <c r="C6" s="4" t="s">
        <v>212</v>
      </c>
    </row>
    <row r="7" spans="3:3">
      <c r="C7" s="4" t="s">
        <v>213</v>
      </c>
    </row>
    <row r="8" spans="3:3">
      <c r="C8" s="4" t="s">
        <v>214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A110" workbookViewId="0">
      <selection activeCell="L156" sqref="L156"/>
    </sheetView>
  </sheetViews>
  <sheetFormatPr defaultColWidth="9" defaultRowHeight="14.25" outlineLevelRow="6"/>
  <sheetData>
    <row r="1" ht="25.5" spans="1:3">
      <c r="A1" s="1">
        <v>9</v>
      </c>
      <c r="B1" s="3" t="s">
        <v>211</v>
      </c>
      <c r="C1" t="s">
        <v>92</v>
      </c>
    </row>
    <row r="5" spans="12:12">
      <c r="L5" t="s">
        <v>215</v>
      </c>
    </row>
    <row r="6" spans="3:3">
      <c r="C6" s="4" t="s">
        <v>216</v>
      </c>
    </row>
    <row r="7" spans="3:3">
      <c r="C7" s="4" t="s">
        <v>217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10</v>
      </c>
      <c r="B1" s="2" t="s">
        <v>218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4.75" spans="1:2">
      <c r="A1" s="1">
        <v>11</v>
      </c>
      <c r="B1" s="3" t="s">
        <v>219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25.5" spans="1:2">
      <c r="A1" s="1">
        <v>12</v>
      </c>
      <c r="B1" s="3" t="s">
        <v>220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L156" sqref="L156"/>
    </sheetView>
  </sheetViews>
  <sheetFormatPr defaultColWidth="9" defaultRowHeight="14.25" outlineLevelRow="7" outlineLevelCol="2"/>
  <sheetData>
    <row r="1" ht="25.5" spans="1:2">
      <c r="A1" s="1">
        <v>13</v>
      </c>
      <c r="B1" s="3" t="s">
        <v>221</v>
      </c>
    </row>
    <row r="7" spans="3:3">
      <c r="C7" s="4" t="s">
        <v>222</v>
      </c>
    </row>
    <row r="8" spans="3:3">
      <c r="C8" s="4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L156" sqref="L156"/>
    </sheetView>
  </sheetViews>
  <sheetFormatPr defaultColWidth="9" defaultRowHeight="14.25" outlineLevelCol="1"/>
  <sheetData>
    <row r="1" ht="15" spans="1:2">
      <c r="A1" s="1">
        <v>14</v>
      </c>
      <c r="B1" s="2" t="s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setup</vt:lpstr>
      <vt:lpstr>1 intro</vt:lpstr>
      <vt:lpstr>2 records</vt:lpstr>
      <vt:lpstr>my_recoreds</vt:lpstr>
      <vt:lpstr>3 T</vt:lpstr>
      <vt:lpstr>4 S</vt:lpstr>
      <vt:lpstr>5 K</vt:lpstr>
      <vt:lpstr>6 vol</vt:lpstr>
      <vt:lpstr>7 other</vt:lpstr>
      <vt:lpstr>8 take profit</vt:lpstr>
      <vt:lpstr>9 stop loss</vt:lpstr>
      <vt:lpstr>10 plan</vt:lpstr>
      <vt:lpstr>11 watchlist</vt:lpstr>
      <vt:lpstr>12 entry</vt:lpstr>
      <vt:lpstr>13 exit</vt:lpstr>
      <vt:lpstr>14 diary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WEIJIE DIAO</dc:creator>
  <cp:lastModifiedBy>沈阳好果汁！</cp:lastModifiedBy>
  <dcterms:created xsi:type="dcterms:W3CDTF">2015-06-05T18:17:00Z</dcterms:created>
  <dcterms:modified xsi:type="dcterms:W3CDTF">2022-10-23T16:28:14Z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FC2BAFB027154D27B8EE7AB4C950115B</vt:lpwstr>
  </property>
  <property fmtid="{D5CDD505-2E9C-101B-9397-08002B2CF9AE}" pid="3" name="KSOProductBuildVer">
    <vt:lpwstr>2052-11.1.0.12598</vt:lpwstr>
  </property>
</Properties>
</file>