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wjus\Desktop\"/>
    </mc:Choice>
  </mc:AlternateContent>
  <xr:revisionPtr revIDLastSave="0" documentId="13_ncr:1_{49279579-3D2B-497B-9F27-D5C46DDFEB0F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setup" sheetId="1" r:id="rId1"/>
    <sheet name="1 intro" sheetId="3" r:id="rId2"/>
    <sheet name="2 records" sheetId="2" r:id="rId3"/>
    <sheet name="3 T" sheetId="4" r:id="rId4"/>
    <sheet name="4 S" sheetId="5" r:id="rId5"/>
    <sheet name="5 K" sheetId="6" r:id="rId6"/>
    <sheet name="6 vol" sheetId="7" r:id="rId7"/>
    <sheet name="7 other" sheetId="8" r:id="rId8"/>
    <sheet name="8 take profit" sheetId="9" r:id="rId9"/>
    <sheet name="9 stop loss" sheetId="10" r:id="rId10"/>
    <sheet name="10 plan" sheetId="11" r:id="rId11"/>
    <sheet name="11 watchlist" sheetId="14" r:id="rId12"/>
    <sheet name="12 entry" sheetId="12" r:id="rId13"/>
    <sheet name="13 exit" sheetId="13" r:id="rId14"/>
    <sheet name="14 diar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7" l="1"/>
  <c r="F35" i="7"/>
  <c r="F33" i="7"/>
  <c r="E36" i="7"/>
  <c r="E35" i="7"/>
  <c r="W28" i="7"/>
  <c r="X28" i="7" s="1"/>
  <c r="V28" i="7" s="1"/>
  <c r="S28" i="7"/>
  <c r="Q28" i="7"/>
  <c r="W27" i="7"/>
  <c r="X27" i="7" s="1"/>
  <c r="V27" i="7" s="1"/>
  <c r="S27" i="7"/>
  <c r="Q27" i="7"/>
  <c r="W26" i="7"/>
  <c r="X26" i="7" s="1"/>
  <c r="V26" i="7" s="1"/>
  <c r="S26" i="7"/>
  <c r="Q26" i="7"/>
  <c r="W25" i="7"/>
  <c r="X25" i="7" s="1"/>
  <c r="V25" i="7" s="1"/>
  <c r="S25" i="7"/>
  <c r="Q25" i="7"/>
  <c r="W24" i="7"/>
  <c r="X24" i="7" s="1"/>
  <c r="V24" i="7" s="1"/>
  <c r="S24" i="7"/>
  <c r="Q24" i="7"/>
  <c r="Y31" i="6"/>
  <c r="Z31" i="6" s="1"/>
  <c r="X31" i="6" s="1"/>
  <c r="U31" i="6"/>
  <c r="V31" i="6" s="1"/>
  <c r="S31" i="6"/>
  <c r="Y30" i="6"/>
  <c r="Z30" i="6" s="1"/>
  <c r="X30" i="6" s="1"/>
  <c r="U30" i="6"/>
  <c r="S30" i="6"/>
  <c r="Y29" i="6"/>
  <c r="Z29" i="6" s="1"/>
  <c r="X29" i="6" s="1"/>
  <c r="U29" i="6"/>
  <c r="S29" i="6"/>
  <c r="Y28" i="6"/>
  <c r="Z28" i="6" s="1"/>
  <c r="X28" i="6" s="1"/>
  <c r="U28" i="6"/>
  <c r="S28" i="6"/>
  <c r="Y27" i="6"/>
  <c r="Z27" i="6" s="1"/>
  <c r="X27" i="6" s="1"/>
  <c r="U27" i="6"/>
  <c r="S27" i="6"/>
  <c r="Y26" i="6"/>
  <c r="Z26" i="6" s="1"/>
  <c r="X26" i="6" s="1"/>
  <c r="U26" i="6"/>
  <c r="S26" i="6"/>
  <c r="Y25" i="6"/>
  <c r="Z25" i="6" s="1"/>
  <c r="X25" i="6" s="1"/>
  <c r="U25" i="6"/>
  <c r="S25" i="6"/>
  <c r="Y24" i="6"/>
  <c r="Z24" i="6" s="1"/>
  <c r="X24" i="6" s="1"/>
  <c r="U24" i="6"/>
  <c r="V24" i="6" s="1"/>
  <c r="S24" i="6"/>
  <c r="S27" i="5"/>
  <c r="T27" i="5" s="1"/>
  <c r="R27" i="5" s="1"/>
  <c r="O27" i="5"/>
  <c r="M27" i="5"/>
  <c r="S26" i="5"/>
  <c r="T26" i="5" s="1"/>
  <c r="R26" i="5" s="1"/>
  <c r="O26" i="5"/>
  <c r="M26" i="5"/>
  <c r="S25" i="5"/>
  <c r="T25" i="5" s="1"/>
  <c r="R25" i="5" s="1"/>
  <c r="O25" i="5"/>
  <c r="M25" i="5"/>
  <c r="S24" i="5"/>
  <c r="T24" i="5" s="1"/>
  <c r="R24" i="5" s="1"/>
  <c r="O24" i="5"/>
  <c r="M24" i="5"/>
  <c r="S23" i="5"/>
  <c r="T23" i="5" s="1"/>
  <c r="R23" i="5" s="1"/>
  <c r="O23" i="5"/>
  <c r="M23" i="5"/>
  <c r="S22" i="5"/>
  <c r="T22" i="5" s="1"/>
  <c r="R22" i="5" s="1"/>
  <c r="O22" i="5"/>
  <c r="M22" i="5"/>
  <c r="S21" i="5"/>
  <c r="T21" i="5" s="1"/>
  <c r="R21" i="5" s="1"/>
  <c r="O21" i="5"/>
  <c r="M21" i="5"/>
  <c r="S20" i="5"/>
  <c r="T20" i="5" s="1"/>
  <c r="R20" i="5" s="1"/>
  <c r="O20" i="5"/>
  <c r="M20" i="5"/>
  <c r="S19" i="5"/>
  <c r="T19" i="5" s="1"/>
  <c r="R19" i="5" s="1"/>
  <c r="O19" i="5"/>
  <c r="P19" i="5" s="1"/>
  <c r="M19" i="5"/>
  <c r="K47" i="4"/>
  <c r="M47" i="4"/>
  <c r="N47" i="4" s="1"/>
  <c r="Q47" i="4"/>
  <c r="R47" i="4" s="1"/>
  <c r="P47" i="4" s="1"/>
  <c r="K48" i="4"/>
  <c r="M48" i="4"/>
  <c r="Q48" i="4"/>
  <c r="R48" i="4" s="1"/>
  <c r="P48" i="4" s="1"/>
  <c r="K49" i="4"/>
  <c r="M49" i="4"/>
  <c r="Q49" i="4"/>
  <c r="R49" i="4" s="1"/>
  <c r="P49" i="4" s="1"/>
  <c r="K50" i="4"/>
  <c r="M50" i="4"/>
  <c r="Q50" i="4"/>
  <c r="R50" i="4"/>
  <c r="P50" i="4" s="1"/>
  <c r="K51" i="4"/>
  <c r="M51" i="4"/>
  <c r="N51" i="4" s="1"/>
  <c r="Q51" i="4"/>
  <c r="R51" i="4" s="1"/>
  <c r="P51" i="4" s="1"/>
  <c r="K52" i="4"/>
  <c r="N52" i="4" s="1"/>
  <c r="M52" i="4"/>
  <c r="Q52" i="4"/>
  <c r="R52" i="4"/>
  <c r="P52" i="4" s="1"/>
  <c r="K53" i="4"/>
  <c r="M53" i="4"/>
  <c r="Q53" i="4"/>
  <c r="R53" i="4" s="1"/>
  <c r="P53" i="4" s="1"/>
  <c r="K54" i="4"/>
  <c r="M54" i="4"/>
  <c r="Q54" i="4"/>
  <c r="R54" i="4" s="1"/>
  <c r="P54" i="4" s="1"/>
  <c r="R46" i="4"/>
  <c r="Q46" i="4"/>
  <c r="M46" i="4"/>
  <c r="K46" i="4"/>
  <c r="U71" i="2"/>
  <c r="U70" i="2"/>
  <c r="U69" i="2"/>
  <c r="V69" i="2" s="1"/>
  <c r="U68" i="2"/>
  <c r="T71" i="2"/>
  <c r="T70" i="2"/>
  <c r="T69" i="2"/>
  <c r="T68" i="2"/>
  <c r="V71" i="2"/>
  <c r="V70" i="2"/>
  <c r="V68" i="2"/>
  <c r="AB60" i="2"/>
  <c r="Q60" i="2" s="1"/>
  <c r="X60" i="2"/>
  <c r="AA60" i="2" s="1"/>
  <c r="P60" i="2" s="1"/>
  <c r="U60" i="2"/>
  <c r="S60" i="2"/>
  <c r="O60" i="2"/>
  <c r="N60" i="2"/>
  <c r="AB59" i="2"/>
  <c r="X59" i="2"/>
  <c r="AA59" i="2" s="1"/>
  <c r="P59" i="2" s="1"/>
  <c r="U59" i="2"/>
  <c r="S59" i="2"/>
  <c r="Q59" i="2"/>
  <c r="O59" i="2"/>
  <c r="N59" i="2"/>
  <c r="AB58" i="2"/>
  <c r="Q58" i="2" s="1"/>
  <c r="X58" i="2"/>
  <c r="AA58" i="2" s="1"/>
  <c r="P58" i="2" s="1"/>
  <c r="U58" i="2"/>
  <c r="S58" i="2"/>
  <c r="O58" i="2"/>
  <c r="N58" i="2"/>
  <c r="AB57" i="2"/>
  <c r="Q57" i="2" s="1"/>
  <c r="X57" i="2"/>
  <c r="AA57" i="2" s="1"/>
  <c r="P57" i="2" s="1"/>
  <c r="U57" i="2"/>
  <c r="S57" i="2"/>
  <c r="O57" i="2"/>
  <c r="N57" i="2"/>
  <c r="AB56" i="2"/>
  <c r="Q56" i="2" s="1"/>
  <c r="X56" i="2"/>
  <c r="AA56" i="2" s="1"/>
  <c r="P56" i="2" s="1"/>
  <c r="U56" i="2"/>
  <c r="S56" i="2"/>
  <c r="O56" i="2"/>
  <c r="N56" i="2"/>
  <c r="AB55" i="2"/>
  <c r="Q55" i="2" s="1"/>
  <c r="X55" i="2"/>
  <c r="AA55" i="2" s="1"/>
  <c r="P55" i="2" s="1"/>
  <c r="U55" i="2"/>
  <c r="S55" i="2"/>
  <c r="V55" i="2" s="1"/>
  <c r="T55" i="2" s="1"/>
  <c r="O55" i="2"/>
  <c r="N55" i="2"/>
  <c r="AB54" i="2"/>
  <c r="X54" i="2"/>
  <c r="AA54" i="2" s="1"/>
  <c r="P54" i="2" s="1"/>
  <c r="U54" i="2"/>
  <c r="S54" i="2"/>
  <c r="Q54" i="2"/>
  <c r="O54" i="2"/>
  <c r="N54" i="2"/>
  <c r="X53" i="2"/>
  <c r="AB53" i="2"/>
  <c r="Q53" i="2" s="1"/>
  <c r="AA53" i="2"/>
  <c r="P53" i="2" s="1"/>
  <c r="U53" i="2"/>
  <c r="V53" i="2" s="1"/>
  <c r="T53" i="2" s="1"/>
  <c r="S53" i="2"/>
  <c r="O53" i="2"/>
  <c r="N53" i="2"/>
  <c r="AB52" i="2"/>
  <c r="Q52" i="2" s="1"/>
  <c r="AA52" i="2"/>
  <c r="P52" i="2" s="1"/>
  <c r="U52" i="2"/>
  <c r="S52" i="2"/>
  <c r="O52" i="2"/>
  <c r="N52" i="2"/>
  <c r="T51" i="2"/>
  <c r="T50" i="2"/>
  <c r="T49" i="2"/>
  <c r="R50" i="2"/>
  <c r="R51" i="2"/>
  <c r="R49" i="2"/>
  <c r="O51" i="2"/>
  <c r="AB51" i="2"/>
  <c r="AA51" i="2"/>
  <c r="P51" i="2"/>
  <c r="U51" i="2"/>
  <c r="S51" i="2"/>
  <c r="Q51" i="2"/>
  <c r="N51" i="2"/>
  <c r="V50" i="2"/>
  <c r="U50" i="2"/>
  <c r="S50" i="2"/>
  <c r="O50" i="2"/>
  <c r="Q50" i="2"/>
  <c r="P50" i="2"/>
  <c r="AA50" i="2"/>
  <c r="AB50" i="2"/>
  <c r="N50" i="2"/>
  <c r="V49" i="2"/>
  <c r="U49" i="2"/>
  <c r="S49" i="2"/>
  <c r="O49" i="2"/>
  <c r="N49" i="2"/>
  <c r="L49" i="2"/>
  <c r="H40" i="2"/>
  <c r="G40" i="2"/>
  <c r="J34" i="2"/>
  <c r="J35" i="2" s="1"/>
  <c r="F40" i="2"/>
  <c r="E40" i="2"/>
  <c r="J36" i="2"/>
  <c r="L36" i="2" s="1"/>
  <c r="J33" i="2"/>
  <c r="M33" i="2"/>
  <c r="L33" i="2"/>
  <c r="L3" i="2" a="1"/>
  <c r="L3" i="2" s="1"/>
  <c r="J3" i="2" a="1"/>
  <c r="J3" i="2" s="1"/>
  <c r="K3" i="2" s="1"/>
  <c r="F126" i="3"/>
  <c r="F127" i="3"/>
  <c r="F128" i="3"/>
  <c r="F129" i="3"/>
  <c r="F130" i="3"/>
  <c r="F131" i="3"/>
  <c r="F132" i="3"/>
  <c r="F125" i="3"/>
  <c r="D132" i="3"/>
  <c r="D131" i="3"/>
  <c r="D130" i="3"/>
  <c r="D129" i="3"/>
  <c r="D128" i="3"/>
  <c r="D127" i="3"/>
  <c r="D126" i="3"/>
  <c r="D125" i="3"/>
  <c r="E126" i="3"/>
  <c r="E127" i="3"/>
  <c r="E128" i="3"/>
  <c r="E129" i="3"/>
  <c r="E130" i="3"/>
  <c r="E131" i="3"/>
  <c r="E132" i="3"/>
  <c r="E125" i="3"/>
  <c r="L122" i="3"/>
  <c r="L120" i="3"/>
  <c r="K122" i="3"/>
  <c r="K121" i="3"/>
  <c r="K120" i="3"/>
  <c r="K119" i="3"/>
  <c r="J122" i="3"/>
  <c r="J121" i="3"/>
  <c r="I122" i="3"/>
  <c r="I121" i="3"/>
  <c r="J120" i="3"/>
  <c r="J119" i="3"/>
  <c r="I120" i="3"/>
  <c r="I119" i="3"/>
  <c r="L108" i="3"/>
  <c r="L109" i="3"/>
  <c r="L110" i="3"/>
  <c r="L111" i="3"/>
  <c r="L112" i="3"/>
  <c r="L113" i="3"/>
  <c r="L114" i="3"/>
  <c r="L107" i="3"/>
  <c r="K108" i="3"/>
  <c r="K109" i="3"/>
  <c r="K110" i="3"/>
  <c r="K111" i="3"/>
  <c r="K112" i="3"/>
  <c r="K113" i="3"/>
  <c r="K114" i="3"/>
  <c r="K107" i="3"/>
  <c r="J113" i="3"/>
  <c r="J109" i="3"/>
  <c r="J110" i="3"/>
  <c r="J111" i="3"/>
  <c r="J112" i="3"/>
  <c r="J114" i="3"/>
  <c r="J108" i="3"/>
  <c r="J107" i="3"/>
  <c r="S98" i="3"/>
  <c r="P98" i="3"/>
  <c r="T97" i="3"/>
  <c r="P96" i="3"/>
  <c r="P95" i="3"/>
  <c r="H99" i="3"/>
  <c r="U98" i="3"/>
  <c r="T98" i="3"/>
  <c r="R98" i="3"/>
  <c r="H98" i="3"/>
  <c r="U97" i="3"/>
  <c r="S97" i="3"/>
  <c r="R97" i="3"/>
  <c r="P97" i="3"/>
  <c r="H97" i="3"/>
  <c r="T96" i="3"/>
  <c r="H96" i="3"/>
  <c r="K95" i="3"/>
  <c r="J95" i="3"/>
  <c r="U96" i="3" s="1"/>
  <c r="D95" i="3"/>
  <c r="S92" i="3"/>
  <c r="H91" i="3"/>
  <c r="E95" i="3" s="1"/>
  <c r="I90" i="3"/>
  <c r="P92" i="3" s="1"/>
  <c r="H90" i="3"/>
  <c r="F95" i="3" s="1"/>
  <c r="H86" i="3"/>
  <c r="T85" i="3"/>
  <c r="P85" i="3"/>
  <c r="U85" i="3"/>
  <c r="S85" i="3"/>
  <c r="R85" i="3"/>
  <c r="H85" i="3"/>
  <c r="T84" i="3"/>
  <c r="P84" i="3"/>
  <c r="T83" i="3"/>
  <c r="P83" i="3"/>
  <c r="P82" i="3"/>
  <c r="S79" i="3"/>
  <c r="U84" i="3"/>
  <c r="S84" i="3"/>
  <c r="R84" i="3"/>
  <c r="H84" i="3"/>
  <c r="H83" i="3"/>
  <c r="K82" i="3"/>
  <c r="J82" i="3"/>
  <c r="U83" i="3" s="1"/>
  <c r="D82" i="3"/>
  <c r="H78" i="3"/>
  <c r="E82" i="3" s="1"/>
  <c r="I77" i="3"/>
  <c r="R79" i="3" s="1"/>
  <c r="H77" i="3"/>
  <c r="F82" i="3" s="1"/>
  <c r="H72" i="3"/>
  <c r="U71" i="3"/>
  <c r="T71" i="3"/>
  <c r="V71" i="3" s="1"/>
  <c r="S71" i="3"/>
  <c r="S70" i="3"/>
  <c r="R71" i="3"/>
  <c r="P71" i="3"/>
  <c r="T70" i="3"/>
  <c r="R70" i="3"/>
  <c r="P70" i="3"/>
  <c r="P69" i="3"/>
  <c r="D69" i="3"/>
  <c r="S64" i="3"/>
  <c r="R64" i="3"/>
  <c r="H71" i="3"/>
  <c r="H70" i="3"/>
  <c r="K69" i="3"/>
  <c r="J69" i="3"/>
  <c r="U70" i="3" s="1"/>
  <c r="H65" i="3"/>
  <c r="E69" i="3" s="1"/>
  <c r="I64" i="3"/>
  <c r="P64" i="3" s="1"/>
  <c r="H64" i="3"/>
  <c r="H66" i="3" s="1"/>
  <c r="P60" i="3"/>
  <c r="F60" i="3"/>
  <c r="H60" i="3" s="1"/>
  <c r="P59" i="3"/>
  <c r="K59" i="3"/>
  <c r="J59" i="3"/>
  <c r="S54" i="3"/>
  <c r="R54" i="3"/>
  <c r="P54" i="3"/>
  <c r="H61" i="3"/>
  <c r="H55" i="3"/>
  <c r="E59" i="3" s="1"/>
  <c r="I54" i="3"/>
  <c r="H54" i="3"/>
  <c r="F59" i="3" s="1"/>
  <c r="H49" i="3"/>
  <c r="H50" i="3"/>
  <c r="P49" i="3"/>
  <c r="P48" i="3"/>
  <c r="F48" i="3"/>
  <c r="S32" i="3"/>
  <c r="S43" i="3"/>
  <c r="H44" i="3"/>
  <c r="E48" i="3" s="1"/>
  <c r="H48" i="3" s="1"/>
  <c r="I43" i="3"/>
  <c r="R43" i="3" s="1"/>
  <c r="H43" i="3"/>
  <c r="O37" i="3"/>
  <c r="G38" i="3"/>
  <c r="I32" i="3"/>
  <c r="R32" i="3" s="1"/>
  <c r="H33" i="3"/>
  <c r="E37" i="3" s="1"/>
  <c r="H32" i="3"/>
  <c r="F37" i="3" s="1"/>
  <c r="E29" i="3"/>
  <c r="I26" i="3"/>
  <c r="R26" i="3"/>
  <c r="S26" i="3"/>
  <c r="T26" i="3"/>
  <c r="Q26" i="3"/>
  <c r="U24" i="3"/>
  <c r="J24" i="3"/>
  <c r="X26" i="3" s="1"/>
  <c r="I25" i="3"/>
  <c r="I24" i="3"/>
  <c r="X17" i="3"/>
  <c r="W14" i="3"/>
  <c r="U14" i="3"/>
  <c r="H13" i="3"/>
  <c r="H14" i="3" s="1"/>
  <c r="H12" i="3"/>
  <c r="T28" i="7" l="1"/>
  <c r="T27" i="7"/>
  <c r="T26" i="7"/>
  <c r="T25" i="7"/>
  <c r="T24" i="7"/>
  <c r="V30" i="6"/>
  <c r="V29" i="6"/>
  <c r="V28" i="6"/>
  <c r="V27" i="6"/>
  <c r="V26" i="6"/>
  <c r="V25" i="6"/>
  <c r="P21" i="5"/>
  <c r="P27" i="5"/>
  <c r="P23" i="5"/>
  <c r="P20" i="5"/>
  <c r="P25" i="5"/>
  <c r="P26" i="5"/>
  <c r="P24" i="5"/>
  <c r="P22" i="5"/>
  <c r="N54" i="4"/>
  <c r="N53" i="4"/>
  <c r="N50" i="4"/>
  <c r="N49" i="4"/>
  <c r="N48" i="4"/>
  <c r="N46" i="4"/>
  <c r="P46" i="4"/>
  <c r="W69" i="2"/>
  <c r="W71" i="2"/>
  <c r="V60" i="2"/>
  <c r="T60" i="2" s="1"/>
  <c r="R60" i="2"/>
  <c r="V59" i="2"/>
  <c r="T59" i="2" s="1"/>
  <c r="R59" i="2"/>
  <c r="R58" i="2"/>
  <c r="V58" i="2"/>
  <c r="T58" i="2" s="1"/>
  <c r="V57" i="2"/>
  <c r="T57" i="2" s="1"/>
  <c r="R57" i="2"/>
  <c r="V56" i="2"/>
  <c r="T56" i="2" s="1"/>
  <c r="R56" i="2"/>
  <c r="R55" i="2"/>
  <c r="V54" i="2"/>
  <c r="T54" i="2" s="1"/>
  <c r="R54" i="2"/>
  <c r="R53" i="2"/>
  <c r="V52" i="2"/>
  <c r="T52" i="2" s="1"/>
  <c r="R52" i="2"/>
  <c r="V51" i="2"/>
  <c r="T35" i="2"/>
  <c r="V35" i="2"/>
  <c r="W35" i="2"/>
  <c r="L34" i="2"/>
  <c r="L35" i="2" s="1"/>
  <c r="K7" i="2"/>
  <c r="K5" i="2"/>
  <c r="K6" i="2"/>
  <c r="K4" i="2"/>
  <c r="I83" i="3"/>
  <c r="I84" i="3"/>
  <c r="V26" i="3"/>
  <c r="R92" i="3"/>
  <c r="G37" i="3"/>
  <c r="H38" i="3" s="1"/>
  <c r="I99" i="3"/>
  <c r="I50" i="3"/>
  <c r="I97" i="3"/>
  <c r="V98" i="3"/>
  <c r="V97" i="3"/>
  <c r="H95" i="3"/>
  <c r="I96" i="3" s="1"/>
  <c r="H92" i="3"/>
  <c r="Q95" i="3"/>
  <c r="V85" i="3"/>
  <c r="I49" i="3"/>
  <c r="H34" i="3"/>
  <c r="P43" i="3"/>
  <c r="P32" i="3"/>
  <c r="Q82" i="3"/>
  <c r="S83" i="3" s="1"/>
  <c r="V70" i="3"/>
  <c r="V84" i="3"/>
  <c r="H82" i="3"/>
  <c r="I86" i="3" s="1"/>
  <c r="P79" i="3"/>
  <c r="H79" i="3"/>
  <c r="F69" i="3"/>
  <c r="H69" i="3" s="1"/>
  <c r="I72" i="3" s="1"/>
  <c r="H59" i="3"/>
  <c r="I60" i="3" s="1"/>
  <c r="H56" i="3"/>
  <c r="H45" i="3"/>
  <c r="D38" i="2" l="1"/>
  <c r="M3" i="2"/>
  <c r="I85" i="3"/>
  <c r="R83" i="3"/>
  <c r="V83" i="3" s="1"/>
  <c r="W84" i="3" s="1"/>
  <c r="I98" i="3"/>
  <c r="S96" i="3"/>
  <c r="R96" i="3"/>
  <c r="W85" i="3"/>
  <c r="W71" i="3"/>
  <c r="W70" i="3"/>
  <c r="I70" i="3"/>
  <c r="W83" i="3"/>
  <c r="I71" i="3"/>
  <c r="I61" i="3"/>
  <c r="V96" i="3" l="1"/>
  <c r="W96" i="3" l="1"/>
  <c r="W97" i="3"/>
  <c r="W9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<sst xmlns="http://schemas.openxmlformats.org/spreadsheetml/2006/main" count="824" uniqueCount="196">
  <si>
    <t>用excel记录基本交易信息</t>
  </si>
  <si>
    <t>增加entry条件</t>
  </si>
  <si>
    <t>T</t>
  </si>
  <si>
    <t>S</t>
  </si>
  <si>
    <t>K</t>
  </si>
  <si>
    <t>vol</t>
  </si>
  <si>
    <t>other</t>
  </si>
  <si>
    <t>增加exit条件</t>
  </si>
  <si>
    <t>adjust</t>
  </si>
  <si>
    <t>take profit</t>
  </si>
  <si>
    <t>stop loss</t>
  </si>
  <si>
    <t>用excel拟好trading plan</t>
  </si>
  <si>
    <t>列出目标资产</t>
  </si>
  <si>
    <t>用excel记录trading diary</t>
  </si>
  <si>
    <t>7$qRL*.H5A6qTtf</t>
  </si>
  <si>
    <t>SPY</t>
  </si>
  <si>
    <t>ignore</t>
  </si>
  <si>
    <t>30D</t>
  </si>
  <si>
    <t>From beginning of 2010</t>
  </si>
  <si>
    <t>S - C_K</t>
  </si>
  <si>
    <t>max profit</t>
  </si>
  <si>
    <t>max loss</t>
  </si>
  <si>
    <t>BE</t>
  </si>
  <si>
    <t>进阶及汇总entry</t>
  </si>
  <si>
    <t>进阶及汇总exit</t>
  </si>
  <si>
    <t>id</t>
  </si>
  <si>
    <t>entry date</t>
  </si>
  <si>
    <t>qty</t>
  </si>
  <si>
    <t>ticker</t>
  </si>
  <si>
    <t>entry price</t>
  </si>
  <si>
    <t>fee</t>
  </si>
  <si>
    <t>exit date</t>
  </si>
  <si>
    <t>total</t>
  </si>
  <si>
    <t>PnL</t>
  </si>
  <si>
    <t>strategy</t>
  </si>
  <si>
    <t>slippage</t>
  </si>
  <si>
    <t>expire</t>
  </si>
  <si>
    <t>entry</t>
  </si>
  <si>
    <t>exit</t>
  </si>
  <si>
    <t>30-45 days</t>
  </si>
  <si>
    <t>no events ahead</t>
  </si>
  <si>
    <t>between 30 and 70</t>
  </si>
  <si>
    <t>Choppiness index: 38.2/61.8, if &gt; 61.8, trade in a range, good to do covered call</t>
  </si>
  <si>
    <t>Average Directional Index: if &gt; 25, a trend is on</t>
  </si>
  <si>
    <t>Bollinger Bands: middle is 20EMA</t>
  </si>
  <si>
    <t>if band too wide, too volatile</t>
  </si>
  <si>
    <t>If band too narrow, prepared for breakout, farther distance</t>
  </si>
  <si>
    <t>Parabolic SAR: useful when trendy</t>
  </si>
  <si>
    <t>where delta close to 0.4</t>
  </si>
  <si>
    <t>OTM 2%-5%, delta 0.2</t>
  </si>
  <si>
    <t>uptrend &amp; stable: boring in the short term,</t>
  </si>
  <si>
    <t>thrilled to own for the long run</t>
  </si>
  <si>
    <t>Low debt</t>
  </si>
  <si>
    <t>Mature enough, not cyclical</t>
  </si>
  <si>
    <t>Volume &gt; 1 million shares a day</t>
  </si>
  <si>
    <t>Better pay dividends, &lt; 5%, less than 40% of net profit</t>
  </si>
  <si>
    <t>sideways (1% rule): when time value is &lt; 1% * underlying price, roll over</t>
  </si>
  <si>
    <t>2 &amp; 20 rule: if the price of buying back</t>
  </si>
  <si>
    <t>is less than 20% of the price you paid,</t>
  </si>
  <si>
    <t>within the first 2 weeks</t>
  </si>
  <si>
    <t>What matters most is the underlying</t>
  </si>
  <si>
    <t>Don't wish your options can turn the tide</t>
  </si>
  <si>
    <t>trade</t>
  </si>
  <si>
    <t>covered call</t>
  </si>
  <si>
    <t>stock pnl</t>
  </si>
  <si>
    <t>pnl</t>
  </si>
  <si>
    <t>option premium</t>
  </si>
  <si>
    <t>multiple</t>
  </si>
  <si>
    <t>initial investment</t>
  </si>
  <si>
    <t>type</t>
  </si>
  <si>
    <t>call option</t>
  </si>
  <si>
    <t>stock</t>
  </si>
  <si>
    <t>value</t>
  </si>
  <si>
    <t>CP</t>
  </si>
  <si>
    <t>AE</t>
  </si>
  <si>
    <t>IV</t>
  </si>
  <si>
    <t>C</t>
  </si>
  <si>
    <t>A</t>
  </si>
  <si>
    <t>delta</t>
  </si>
  <si>
    <t>gamma</t>
  </si>
  <si>
    <t>vega</t>
  </si>
  <si>
    <t>theta</t>
  </si>
  <si>
    <t>zeta</t>
  </si>
  <si>
    <t>days</t>
  </si>
  <si>
    <t>PnL Open</t>
  </si>
  <si>
    <t>cap price</t>
  </si>
  <si>
    <t xml:space="preserve">qty </t>
  </si>
  <si>
    <t>entry cashflow</t>
  </si>
  <si>
    <t>date</t>
  </si>
  <si>
    <t>-</t>
  </si>
  <si>
    <t>position</t>
  </si>
  <si>
    <t>option</t>
  </si>
  <si>
    <t>option time</t>
  </si>
  <si>
    <t>option intrinsic</t>
  </si>
  <si>
    <t>pnl delta</t>
  </si>
  <si>
    <t>pnl gamma</t>
  </si>
  <si>
    <t>pnl theta</t>
  </si>
  <si>
    <t>pnl vega</t>
  </si>
  <si>
    <t>pnl total</t>
  </si>
  <si>
    <t>daily pnl</t>
  </si>
  <si>
    <t>lo</t>
  </si>
  <si>
    <t>hi</t>
  </si>
  <si>
    <t>start</t>
  </si>
  <si>
    <t>end</t>
  </si>
  <si>
    <t>win/loss</t>
  </si>
  <si>
    <t>amount</t>
  </si>
  <si>
    <t>loss</t>
  </si>
  <si>
    <t>simple stock</t>
  </si>
  <si>
    <t>win</t>
  </si>
  <si>
    <t>diff</t>
  </si>
  <si>
    <t>rate</t>
  </si>
  <si>
    <t>vs buy &amp; hold</t>
  </si>
  <si>
    <t>expected</t>
  </si>
  <si>
    <t>return</t>
  </si>
  <si>
    <t>通过thinkback 练习covered call的基本操作，每月初，假设持有到期</t>
  </si>
  <si>
    <t>30-50</t>
  </si>
  <si>
    <t>CC</t>
  </si>
  <si>
    <t>SPY C117 20100917</t>
  </si>
  <si>
    <t>CC SPY C117 20100917</t>
  </si>
  <si>
    <t>CC SPY C117 20100917  C103 20110917</t>
  </si>
  <si>
    <t>Account</t>
  </si>
  <si>
    <t>Strategy</t>
  </si>
  <si>
    <t>win/loss (vs BH)</t>
  </si>
  <si>
    <t>year of 2011</t>
  </si>
  <si>
    <t>basic</t>
  </si>
  <si>
    <t>stock price</t>
  </si>
  <si>
    <t>time</t>
  </si>
  <si>
    <t>status</t>
  </si>
  <si>
    <t>evaluate</t>
  </si>
  <si>
    <t>investment</t>
  </si>
  <si>
    <t>PnL (vs BH)</t>
  </si>
  <si>
    <t>return on investment</t>
  </si>
  <si>
    <t>ID</t>
  </si>
  <si>
    <t>25D</t>
  </si>
  <si>
    <t>SPY C132 20110218</t>
  </si>
  <si>
    <t>CC SPY C132 20110218</t>
  </si>
  <si>
    <t>28943-JDPKL</t>
  </si>
  <si>
    <t>NJ1</t>
  </si>
  <si>
    <t>mid price</t>
  </si>
  <si>
    <t>risk pct</t>
  </si>
  <si>
    <t>record</t>
  </si>
  <si>
    <t>sweet low</t>
  </si>
  <si>
    <t>sweet high</t>
  </si>
  <si>
    <t>18843-SLGBU</t>
  </si>
  <si>
    <t>premium</t>
  </si>
  <si>
    <t>01543-VYPWF</t>
  </si>
  <si>
    <t>69504-MBUGR</t>
  </si>
  <si>
    <t>38753-IQFKN</t>
  </si>
  <si>
    <t>10145-FRRFV</t>
  </si>
  <si>
    <t>20250-VYMVF</t>
  </si>
  <si>
    <t>02726-GRIAG</t>
  </si>
  <si>
    <t>19428-YBXKP</t>
  </si>
  <si>
    <t>18423-KYCRQ</t>
  </si>
  <si>
    <t>67897-LTRQS</t>
  </si>
  <si>
    <t>vs BH</t>
  </si>
  <si>
    <t>https://m.gelonghui.com/p/133347</t>
  </si>
  <si>
    <t>Secrets of Economic Indicators</t>
  </si>
  <si>
    <t>year of 2012</t>
  </si>
  <si>
    <t>FOMC</t>
  </si>
  <si>
    <t>ex-dividend</t>
  </si>
  <si>
    <t>10381-LXPTT</t>
  </si>
  <si>
    <t>94965-EGBSZ</t>
  </si>
  <si>
    <t>52127-GKIGZ</t>
  </si>
  <si>
    <t>08123-MIODN</t>
  </si>
  <si>
    <t>72651-HKDZD</t>
  </si>
  <si>
    <t>56130-ZVSCC</t>
  </si>
  <si>
    <t>59677-NTWBO</t>
  </si>
  <si>
    <t>55571-FFBZQ</t>
  </si>
  <si>
    <t>15910-IDAOQ</t>
  </si>
  <si>
    <t>BH PnL</t>
  </si>
  <si>
    <t>Pnl (vs BH)</t>
  </si>
  <si>
    <t>25-45</t>
  </si>
  <si>
    <t>SPX Adj Close</t>
  </si>
  <si>
    <t>VIX Adj Close</t>
  </si>
  <si>
    <t>sideways</t>
  </si>
  <si>
    <t>choppiness index. sideways if &gt; 61.8, trendy if &lt;38.2</t>
  </si>
  <si>
    <t>Choppiness Index</t>
  </si>
  <si>
    <t>Signal</t>
  </si>
  <si>
    <t>Unclear</t>
  </si>
  <si>
    <t>Trendy</t>
  </si>
  <si>
    <t>if larger than 61.8, sideways, pick delta = 0.4</t>
  </si>
  <si>
    <t>if between 38.2 and 61.8, pick delta = 0.2</t>
  </si>
  <si>
    <t>if smaller than 38.2, not enter the trade</t>
  </si>
  <si>
    <t>Delta</t>
  </si>
  <si>
    <t>AAPL</t>
  </si>
  <si>
    <t>30-70</t>
  </si>
  <si>
    <t>earninigs</t>
  </si>
  <si>
    <t>if larger than 61.8, sideways, pick delta = 0.3</t>
  </si>
  <si>
    <t>IVOL</t>
  </si>
  <si>
    <t>appl</t>
  </si>
  <si>
    <t>BH</t>
  </si>
  <si>
    <t>BAC</t>
  </si>
  <si>
    <t>bank of america</t>
  </si>
  <si>
    <t>market watch -&gt; calendar</t>
  </si>
  <si>
    <t>scan -&gt; option hacker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</si>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</sst>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21"/>
      <color rgb="FF0F11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14" fontId="0" fillId="0" borderId="0" xfId="0" applyNumberFormat="1"/>
    <xf numFmtId="43" fontId="0" fillId="0" borderId="0" xfId="1" applyFont="1"/>
    <xf numFmtId="10" fontId="0" fillId="0" borderId="0" xfId="0" applyNumberFormat="1"/>
    <xf numFmtId="14" fontId="0" fillId="0" borderId="0" xfId="1" applyNumberFormat="1" applyFont="1"/>
    <xf numFmtId="43" fontId="0" fillId="0" borderId="0" xfId="0" applyNumberFormat="1"/>
    <xf numFmtId="9" fontId="0" fillId="0" borderId="0" xfId="2" applyFont="1"/>
    <xf numFmtId="10" fontId="0" fillId="0" borderId="0" xfId="2" applyNumberFormat="1" applyFont="1"/>
    <xf numFmtId="20" fontId="0" fillId="0" borderId="0" xfId="0" applyNumberFormat="1"/>
    <xf numFmtId="9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14" fontId="0" fillId="3" borderId="0" xfId="0" applyNumberFormat="1" applyFill="1"/>
    <xf numFmtId="43" fontId="0" fillId="3" borderId="0" xfId="1" applyFont="1" applyFill="1"/>
    <xf numFmtId="0" fontId="5" fillId="0" borderId="0" xfId="0" applyFont="1"/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</xdr:row>
      <xdr:rowOff>2314575</xdr:rowOff>
    </xdr:from>
    <xdr:to>
      <xdr:col>22</xdr:col>
      <xdr:colOff>533400</xdr:colOff>
      <xdr:row>30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B4F930-AB99-38B3-BF10-E661C43B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2514600"/>
          <a:ext cx="6400800" cy="620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workbookViewId="0">
      <selection activeCell="B2" sqref="B2"/>
    </sheetView>
  </sheetViews>
  <sheetFormatPr defaultRowHeight="15" x14ac:dyDescent="0.25"/>
  <cols>
    <col min="1" max="1" width="3" bestFit="1" customWidth="1"/>
    <col min="2" max="2" width="61.140625" bestFit="1" customWidth="1"/>
    <col min="3" max="3" width="15.28515625" bestFit="1" customWidth="1"/>
  </cols>
  <sheetData>
    <row r="1" spans="2:2" ht="15.75" thickBot="1" x14ac:dyDescent="0.3"/>
    <row r="2" spans="2:2" ht="15.75" thickBot="1" x14ac:dyDescent="0.3">
      <c r="B2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7DBA-093F-4FA2-889B-6F43BC9D957B}">
  <dimension ref="A1:X132"/>
  <sheetViews>
    <sheetView topLeftCell="A99" zoomScale="115" zoomScaleNormal="115" workbookViewId="0">
      <selection activeCell="G118" sqref="G118:L122"/>
    </sheetView>
  </sheetViews>
  <sheetFormatPr defaultRowHeight="15" x14ac:dyDescent="0.25"/>
  <cols>
    <col min="3" max="3" width="10.5703125" customWidth="1"/>
    <col min="4" max="4" width="14.85546875" customWidth="1"/>
    <col min="5" max="6" width="11.42578125" customWidth="1"/>
    <col min="7" max="7" width="14.140625" customWidth="1"/>
    <col min="8" max="8" width="15.140625" customWidth="1"/>
    <col min="9" max="9" width="10.5703125" customWidth="1"/>
    <col min="10" max="10" width="10.7109375" bestFit="1" customWidth="1"/>
    <col min="11" max="11" width="16.42578125" customWidth="1"/>
    <col min="12" max="13" width="10.7109375" bestFit="1" customWidth="1"/>
  </cols>
  <sheetData>
    <row r="1" spans="1:24" ht="15.75" thickBot="1" x14ac:dyDescent="0.3">
      <c r="A1" s="1">
        <v>1</v>
      </c>
      <c r="B1" s="2" t="s">
        <v>114</v>
      </c>
    </row>
    <row r="3" spans="1:24" x14ac:dyDescent="0.25">
      <c r="B3" t="s">
        <v>3</v>
      </c>
      <c r="C3" t="s">
        <v>15</v>
      </c>
    </row>
    <row r="4" spans="1:24" x14ac:dyDescent="0.25">
      <c r="B4" t="s">
        <v>2</v>
      </c>
      <c r="C4" t="s">
        <v>115</v>
      </c>
    </row>
    <row r="5" spans="1:24" x14ac:dyDescent="0.25">
      <c r="B5" t="s">
        <v>5</v>
      </c>
      <c r="C5" t="s">
        <v>16</v>
      </c>
    </row>
    <row r="6" spans="1:24" x14ac:dyDescent="0.25">
      <c r="B6" t="s">
        <v>4</v>
      </c>
      <c r="C6" t="s">
        <v>17</v>
      </c>
    </row>
    <row r="8" spans="1:24" x14ac:dyDescent="0.25">
      <c r="B8" t="s">
        <v>19</v>
      </c>
    </row>
    <row r="9" spans="1:24" x14ac:dyDescent="0.25">
      <c r="B9" t="s">
        <v>18</v>
      </c>
    </row>
    <row r="11" spans="1:24" x14ac:dyDescent="0.25">
      <c r="C11" t="s">
        <v>69</v>
      </c>
      <c r="D11" t="s">
        <v>62</v>
      </c>
      <c r="E11" t="s">
        <v>72</v>
      </c>
      <c r="F11" t="s">
        <v>27</v>
      </c>
      <c r="G11" t="s">
        <v>67</v>
      </c>
      <c r="H11" t="s">
        <v>32</v>
      </c>
      <c r="I11" t="s">
        <v>3</v>
      </c>
      <c r="J11" t="s">
        <v>4</v>
      </c>
      <c r="K11" t="s">
        <v>75</v>
      </c>
      <c r="L11" t="s">
        <v>2</v>
      </c>
      <c r="M11" t="s">
        <v>83</v>
      </c>
      <c r="N11" t="s">
        <v>73</v>
      </c>
      <c r="O11" t="s">
        <v>74</v>
      </c>
      <c r="P11" t="s">
        <v>78</v>
      </c>
      <c r="Q11" t="s">
        <v>79</v>
      </c>
      <c r="R11" t="s">
        <v>81</v>
      </c>
      <c r="S11" t="s">
        <v>80</v>
      </c>
      <c r="T11" t="s">
        <v>82</v>
      </c>
      <c r="U11" t="s">
        <v>20</v>
      </c>
      <c r="V11" t="s">
        <v>21</v>
      </c>
      <c r="W11" t="s">
        <v>22</v>
      </c>
      <c r="X11" t="s">
        <v>33</v>
      </c>
    </row>
    <row r="12" spans="1:24" x14ac:dyDescent="0.25">
      <c r="B12">
        <v>1</v>
      </c>
      <c r="C12" t="s">
        <v>70</v>
      </c>
      <c r="D12" s="5">
        <v>40182</v>
      </c>
      <c r="E12">
        <v>1.175</v>
      </c>
      <c r="F12">
        <v>-1</v>
      </c>
      <c r="G12">
        <v>100</v>
      </c>
      <c r="H12">
        <f>E12*F12*G12</f>
        <v>-117.5</v>
      </c>
      <c r="I12">
        <v>113.33</v>
      </c>
      <c r="J12">
        <v>117</v>
      </c>
      <c r="K12" s="7">
        <v>0.16089999999999999</v>
      </c>
      <c r="L12" s="8">
        <v>40228</v>
      </c>
      <c r="M12">
        <v>46</v>
      </c>
      <c r="N12" t="s">
        <v>76</v>
      </c>
      <c r="O12" t="s">
        <v>77</v>
      </c>
      <c r="P12">
        <v>-29.54</v>
      </c>
      <c r="Q12">
        <v>-5.32</v>
      </c>
      <c r="R12">
        <v>2.39</v>
      </c>
      <c r="S12">
        <v>-13.95</v>
      </c>
      <c r="T12">
        <v>27.6</v>
      </c>
    </row>
    <row r="13" spans="1:24" x14ac:dyDescent="0.25">
      <c r="C13" t="s">
        <v>71</v>
      </c>
      <c r="D13" s="5">
        <v>40182</v>
      </c>
      <c r="E13">
        <v>113.33</v>
      </c>
      <c r="F13">
        <v>100</v>
      </c>
      <c r="G13">
        <v>1</v>
      </c>
      <c r="H13">
        <f>G13*F13*E13</f>
        <v>11333</v>
      </c>
      <c r="P13">
        <v>100</v>
      </c>
      <c r="Q13">
        <v>0</v>
      </c>
      <c r="R13">
        <v>0</v>
      </c>
      <c r="S13">
        <v>0</v>
      </c>
    </row>
    <row r="14" spans="1:24" x14ac:dyDescent="0.25">
      <c r="C14" t="s">
        <v>32</v>
      </c>
      <c r="D14" s="5">
        <v>40182</v>
      </c>
      <c r="H14">
        <f>H13+H12</f>
        <v>11215.5</v>
      </c>
      <c r="P14">
        <v>70.459999999999994</v>
      </c>
      <c r="Q14">
        <v>-5.32</v>
      </c>
      <c r="R14">
        <v>2.39</v>
      </c>
      <c r="S14">
        <v>-13.95</v>
      </c>
      <c r="U14">
        <f>(J12-I12+E12)*100</f>
        <v>484.50000000000017</v>
      </c>
      <c r="W14">
        <f>I12-E12</f>
        <v>112.155</v>
      </c>
    </row>
    <row r="15" spans="1:24" x14ac:dyDescent="0.25">
      <c r="C15" t="s">
        <v>70</v>
      </c>
      <c r="D15" s="5">
        <v>40229</v>
      </c>
      <c r="X15">
        <v>117.5</v>
      </c>
    </row>
    <row r="16" spans="1:24" x14ac:dyDescent="0.25">
      <c r="C16" t="s">
        <v>71</v>
      </c>
      <c r="D16" s="5">
        <v>40229</v>
      </c>
      <c r="X16">
        <v>-219</v>
      </c>
    </row>
    <row r="17" spans="2:24" x14ac:dyDescent="0.25">
      <c r="C17" t="s">
        <v>32</v>
      </c>
      <c r="D17" s="5">
        <v>40229</v>
      </c>
      <c r="X17">
        <f>X16+X15</f>
        <v>-101.5</v>
      </c>
    </row>
    <row r="23" spans="2:24" x14ac:dyDescent="0.25">
      <c r="B23">
        <v>2</v>
      </c>
      <c r="C23" t="s">
        <v>69</v>
      </c>
      <c r="D23" t="s">
        <v>62</v>
      </c>
      <c r="E23" t="s">
        <v>84</v>
      </c>
      <c r="F23" t="s">
        <v>72</v>
      </c>
      <c r="G23" t="s">
        <v>27</v>
      </c>
      <c r="H23" t="s">
        <v>67</v>
      </c>
      <c r="I23" t="s">
        <v>32</v>
      </c>
      <c r="J23" t="s">
        <v>3</v>
      </c>
      <c r="K23" t="s">
        <v>4</v>
      </c>
      <c r="L23" t="s">
        <v>75</v>
      </c>
      <c r="M23" t="s">
        <v>2</v>
      </c>
      <c r="N23" t="s">
        <v>83</v>
      </c>
      <c r="O23" t="s">
        <v>73</v>
      </c>
      <c r="P23" t="s">
        <v>74</v>
      </c>
      <c r="Q23" t="s">
        <v>78</v>
      </c>
      <c r="R23" t="s">
        <v>79</v>
      </c>
      <c r="S23" t="s">
        <v>81</v>
      </c>
      <c r="T23" t="s">
        <v>80</v>
      </c>
      <c r="U23" t="s">
        <v>82</v>
      </c>
      <c r="V23" t="s">
        <v>20</v>
      </c>
      <c r="W23" t="s">
        <v>21</v>
      </c>
      <c r="X23" t="s">
        <v>22</v>
      </c>
    </row>
    <row r="24" spans="2:24" x14ac:dyDescent="0.25">
      <c r="C24" t="s">
        <v>70</v>
      </c>
      <c r="D24" s="5">
        <v>40210</v>
      </c>
      <c r="F24">
        <v>1.25</v>
      </c>
      <c r="G24">
        <v>-10</v>
      </c>
      <c r="H24">
        <v>100</v>
      </c>
      <c r="I24">
        <f>F24*G24*H24</f>
        <v>-1250</v>
      </c>
      <c r="J24">
        <f>F25</f>
        <v>109.06</v>
      </c>
      <c r="K24">
        <v>113</v>
      </c>
      <c r="L24" s="7">
        <v>0.18329999999999999</v>
      </c>
      <c r="M24" s="5">
        <v>40256</v>
      </c>
      <c r="N24">
        <v>46</v>
      </c>
      <c r="O24" t="s">
        <v>76</v>
      </c>
      <c r="P24" t="s">
        <v>77</v>
      </c>
      <c r="Q24">
        <v>-289.94</v>
      </c>
      <c r="R24">
        <v>-48.23</v>
      </c>
      <c r="S24">
        <v>24.54</v>
      </c>
      <c r="T24">
        <v>-132.84</v>
      </c>
      <c r="U24">
        <f>100-73.19</f>
        <v>26.810000000000002</v>
      </c>
    </row>
    <row r="25" spans="2:24" x14ac:dyDescent="0.25">
      <c r="C25" t="s">
        <v>71</v>
      </c>
      <c r="D25" s="5">
        <v>40210</v>
      </c>
      <c r="F25">
        <v>109.06</v>
      </c>
      <c r="G25">
        <v>1000</v>
      </c>
      <c r="H25">
        <v>1</v>
      </c>
      <c r="I25">
        <f>F25*G25*H25</f>
        <v>109060</v>
      </c>
      <c r="Q25">
        <v>1000</v>
      </c>
      <c r="R25">
        <v>0</v>
      </c>
      <c r="S25">
        <v>0</v>
      </c>
      <c r="T25">
        <v>0</v>
      </c>
    </row>
    <row r="26" spans="2:24" x14ac:dyDescent="0.25">
      <c r="C26" t="s">
        <v>32</v>
      </c>
      <c r="D26" s="5">
        <v>40210</v>
      </c>
      <c r="I26">
        <f>I25+I24</f>
        <v>107810</v>
      </c>
      <c r="Q26">
        <f>Q25+Q24</f>
        <v>710.06</v>
      </c>
      <c r="R26">
        <f t="shared" ref="R26:T26" si="0">R25+R24</f>
        <v>-48.23</v>
      </c>
      <c r="S26">
        <f t="shared" si="0"/>
        <v>24.54</v>
      </c>
      <c r="T26">
        <f t="shared" si="0"/>
        <v>-132.84</v>
      </c>
      <c r="V26">
        <f>K24-J24+F24</f>
        <v>5.1899999999999977</v>
      </c>
      <c r="X26">
        <f>J24-F24</f>
        <v>107.81</v>
      </c>
    </row>
    <row r="27" spans="2:24" x14ac:dyDescent="0.25">
      <c r="C27" t="s">
        <v>70</v>
      </c>
      <c r="D27" s="5">
        <v>40257</v>
      </c>
      <c r="E27">
        <v>-1720</v>
      </c>
    </row>
    <row r="28" spans="2:24" x14ac:dyDescent="0.25">
      <c r="C28" t="s">
        <v>71</v>
      </c>
      <c r="D28" s="5">
        <v>40257</v>
      </c>
      <c r="E28">
        <v>6910</v>
      </c>
      <c r="F28">
        <v>115.97</v>
      </c>
    </row>
    <row r="29" spans="2:24" x14ac:dyDescent="0.25">
      <c r="C29" t="s">
        <v>32</v>
      </c>
      <c r="D29" s="5">
        <v>40257</v>
      </c>
      <c r="E29">
        <f>E28+E27</f>
        <v>5190</v>
      </c>
    </row>
    <row r="31" spans="2:24" x14ac:dyDescent="0.25">
      <c r="B31">
        <v>3</v>
      </c>
      <c r="C31" t="s">
        <v>62</v>
      </c>
      <c r="D31" t="s">
        <v>69</v>
      </c>
      <c r="E31" t="s">
        <v>88</v>
      </c>
      <c r="F31" t="s">
        <v>29</v>
      </c>
      <c r="G31" t="s">
        <v>86</v>
      </c>
      <c r="H31" t="s">
        <v>87</v>
      </c>
      <c r="I31" t="s">
        <v>3</v>
      </c>
      <c r="J31" t="s">
        <v>4</v>
      </c>
      <c r="K31" t="s">
        <v>75</v>
      </c>
      <c r="L31" t="s">
        <v>2</v>
      </c>
      <c r="M31" t="s">
        <v>83</v>
      </c>
      <c r="N31" t="s">
        <v>73</v>
      </c>
      <c r="O31" t="s">
        <v>74</v>
      </c>
      <c r="P31" t="s">
        <v>20</v>
      </c>
      <c r="Q31" t="s">
        <v>21</v>
      </c>
      <c r="R31" t="s">
        <v>22</v>
      </c>
      <c r="S31" t="s">
        <v>85</v>
      </c>
    </row>
    <row r="32" spans="2:24" x14ac:dyDescent="0.25">
      <c r="D32" t="s">
        <v>70</v>
      </c>
      <c r="E32" s="5">
        <v>40238</v>
      </c>
      <c r="F32">
        <v>0.95499999999999996</v>
      </c>
      <c r="G32">
        <v>-1</v>
      </c>
      <c r="H32">
        <f>F32*G32*100</f>
        <v>-95.5</v>
      </c>
      <c r="I32">
        <f>F33</f>
        <v>111.89</v>
      </c>
      <c r="J32">
        <v>114</v>
      </c>
      <c r="K32">
        <v>15.19</v>
      </c>
      <c r="L32" s="5">
        <v>40268</v>
      </c>
      <c r="M32">
        <v>30</v>
      </c>
      <c r="N32" t="s">
        <v>76</v>
      </c>
      <c r="O32" t="s">
        <v>77</v>
      </c>
      <c r="P32">
        <f>J32-I32+F32</f>
        <v>3.0649999999999995</v>
      </c>
      <c r="Q32" t="s">
        <v>89</v>
      </c>
      <c r="R32">
        <f>I32-F32</f>
        <v>110.935</v>
      </c>
      <c r="S32">
        <f>J32+F32</f>
        <v>114.955</v>
      </c>
    </row>
    <row r="33" spans="2:19" x14ac:dyDescent="0.25">
      <c r="D33" t="s">
        <v>71</v>
      </c>
      <c r="E33" s="5">
        <v>40238</v>
      </c>
      <c r="F33">
        <v>111.89</v>
      </c>
      <c r="G33">
        <v>100</v>
      </c>
      <c r="H33">
        <f>F33*G33</f>
        <v>11189</v>
      </c>
    </row>
    <row r="34" spans="2:19" x14ac:dyDescent="0.25">
      <c r="D34" t="s">
        <v>32</v>
      </c>
      <c r="E34" s="5">
        <v>40238</v>
      </c>
      <c r="H34" s="6">
        <f>H33+H32</f>
        <v>11093.5</v>
      </c>
    </row>
    <row r="36" spans="2:19" x14ac:dyDescent="0.25">
      <c r="C36" t="s">
        <v>90</v>
      </c>
      <c r="D36" t="s">
        <v>88</v>
      </c>
      <c r="E36" t="s">
        <v>71</v>
      </c>
      <c r="F36" t="s">
        <v>91</v>
      </c>
      <c r="G36" t="s">
        <v>32</v>
      </c>
      <c r="H36" t="s">
        <v>84</v>
      </c>
      <c r="I36" t="s">
        <v>75</v>
      </c>
      <c r="J36" t="s">
        <v>2</v>
      </c>
      <c r="K36" t="s">
        <v>78</v>
      </c>
      <c r="L36" t="s">
        <v>79</v>
      </c>
      <c r="M36" t="s">
        <v>81</v>
      </c>
      <c r="N36" t="s">
        <v>80</v>
      </c>
      <c r="O36" t="s">
        <v>82</v>
      </c>
    </row>
    <row r="37" spans="2:19" x14ac:dyDescent="0.25">
      <c r="D37" s="5">
        <v>40238</v>
      </c>
      <c r="E37" s="9">
        <f>H33</f>
        <v>11189</v>
      </c>
      <c r="F37">
        <f>H32</f>
        <v>-95.5</v>
      </c>
      <c r="G37" s="9">
        <f>E37+F37</f>
        <v>11093.5</v>
      </c>
      <c r="I37">
        <v>15.19</v>
      </c>
      <c r="J37">
        <v>30</v>
      </c>
      <c r="K37">
        <v>68.81</v>
      </c>
      <c r="L37">
        <v>-7.32</v>
      </c>
      <c r="M37">
        <v>2.44</v>
      </c>
      <c r="N37">
        <v>-11.37</v>
      </c>
      <c r="O37">
        <f>100-70.48</f>
        <v>29.519999999999996</v>
      </c>
    </row>
    <row r="38" spans="2:19" x14ac:dyDescent="0.25">
      <c r="D38" s="5">
        <v>40269</v>
      </c>
      <c r="E38" s="6">
        <v>11780</v>
      </c>
      <c r="F38">
        <v>-300</v>
      </c>
      <c r="G38" s="9">
        <f>E38+F38</f>
        <v>11480</v>
      </c>
      <c r="H38" s="9">
        <f>G38-G37</f>
        <v>386.5</v>
      </c>
    </row>
    <row r="39" spans="2:19" x14ac:dyDescent="0.25">
      <c r="E39" s="9"/>
      <c r="H39" s="9"/>
    </row>
    <row r="42" spans="2:19" x14ac:dyDescent="0.25">
      <c r="B42">
        <v>4</v>
      </c>
      <c r="C42" t="s">
        <v>62</v>
      </c>
      <c r="D42" t="s">
        <v>69</v>
      </c>
      <c r="E42" t="s">
        <v>88</v>
      </c>
      <c r="F42" t="s">
        <v>29</v>
      </c>
      <c r="G42" t="s">
        <v>86</v>
      </c>
      <c r="H42" t="s">
        <v>87</v>
      </c>
      <c r="I42" t="s">
        <v>3</v>
      </c>
      <c r="J42" t="s">
        <v>4</v>
      </c>
      <c r="K42" t="s">
        <v>75</v>
      </c>
      <c r="L42" t="s">
        <v>2</v>
      </c>
      <c r="M42" t="s">
        <v>83</v>
      </c>
      <c r="N42" t="s">
        <v>73</v>
      </c>
      <c r="O42" t="s">
        <v>74</v>
      </c>
      <c r="P42" t="s">
        <v>20</v>
      </c>
      <c r="Q42" t="s">
        <v>21</v>
      </c>
      <c r="R42" t="s">
        <v>22</v>
      </c>
      <c r="S42" t="s">
        <v>85</v>
      </c>
    </row>
    <row r="43" spans="2:19" x14ac:dyDescent="0.25">
      <c r="D43" t="s">
        <v>70</v>
      </c>
      <c r="E43" s="5">
        <v>40269</v>
      </c>
      <c r="F43" s="6">
        <v>0.94</v>
      </c>
      <c r="G43" s="6">
        <v>-1</v>
      </c>
      <c r="H43" s="6">
        <f>F43*G43*100</f>
        <v>-94</v>
      </c>
      <c r="I43" s="6">
        <f>F44</f>
        <v>117.8</v>
      </c>
      <c r="J43" s="6">
        <v>122</v>
      </c>
      <c r="K43" s="6">
        <v>14.1</v>
      </c>
      <c r="L43" s="5">
        <v>40319</v>
      </c>
      <c r="M43" s="6">
        <v>50</v>
      </c>
      <c r="N43" s="6" t="s">
        <v>76</v>
      </c>
      <c r="O43" s="6" t="s">
        <v>77</v>
      </c>
      <c r="P43" s="6">
        <f>J43-I43+F43</f>
        <v>5.1400000000000023</v>
      </c>
      <c r="Q43" s="6">
        <v>0</v>
      </c>
      <c r="R43" s="6">
        <f>I43-F43</f>
        <v>116.86</v>
      </c>
      <c r="S43" s="6">
        <f>J43+F43</f>
        <v>122.94</v>
      </c>
    </row>
    <row r="44" spans="2:19" x14ac:dyDescent="0.25">
      <c r="D44" t="s">
        <v>71</v>
      </c>
      <c r="E44" s="5">
        <v>40269</v>
      </c>
      <c r="F44" s="6">
        <v>117.8</v>
      </c>
      <c r="G44" s="6">
        <v>100</v>
      </c>
      <c r="H44" s="6">
        <f>F44*G44</f>
        <v>11780</v>
      </c>
      <c r="I44" s="6"/>
      <c r="J44" s="6"/>
      <c r="K44" s="6"/>
    </row>
    <row r="45" spans="2:19" x14ac:dyDescent="0.25">
      <c r="D45" t="s">
        <v>32</v>
      </c>
      <c r="E45" s="5">
        <v>40269</v>
      </c>
      <c r="F45" s="6"/>
      <c r="G45" s="6"/>
      <c r="H45" s="6">
        <f>H44+H43</f>
        <v>11686</v>
      </c>
      <c r="I45" s="6"/>
      <c r="J45" s="6"/>
      <c r="K45" s="6"/>
    </row>
    <row r="47" spans="2:19" x14ac:dyDescent="0.25">
      <c r="C47" t="s">
        <v>90</v>
      </c>
      <c r="D47" t="s">
        <v>88</v>
      </c>
      <c r="E47" t="s">
        <v>71</v>
      </c>
      <c r="F47" t="s">
        <v>92</v>
      </c>
      <c r="G47" t="s">
        <v>93</v>
      </c>
      <c r="H47" t="s">
        <v>32</v>
      </c>
      <c r="I47" t="s">
        <v>84</v>
      </c>
      <c r="J47" t="s">
        <v>75</v>
      </c>
      <c r="K47" t="s">
        <v>2</v>
      </c>
      <c r="L47" t="s">
        <v>78</v>
      </c>
      <c r="M47" t="s">
        <v>79</v>
      </c>
      <c r="N47" t="s">
        <v>81</v>
      </c>
      <c r="O47" t="s">
        <v>80</v>
      </c>
      <c r="P47" t="s">
        <v>82</v>
      </c>
    </row>
    <row r="48" spans="2:19" x14ac:dyDescent="0.25">
      <c r="D48" s="5">
        <v>40269</v>
      </c>
      <c r="E48" s="6">
        <f>H44</f>
        <v>11780</v>
      </c>
      <c r="F48" s="6">
        <f>H43</f>
        <v>-94</v>
      </c>
      <c r="G48" s="6">
        <v>0</v>
      </c>
      <c r="H48" s="6">
        <f>E48+F48+G48</f>
        <v>11686</v>
      </c>
      <c r="I48" s="6"/>
      <c r="J48" s="6">
        <v>14.1</v>
      </c>
      <c r="K48" s="6">
        <v>50</v>
      </c>
      <c r="L48" s="6">
        <v>74.08</v>
      </c>
      <c r="M48" s="6">
        <v>-5.25</v>
      </c>
      <c r="N48" s="6">
        <v>1.98</v>
      </c>
      <c r="O48" s="6">
        <v>-14.19</v>
      </c>
      <c r="P48" s="6">
        <f>100-75.74</f>
        <v>24.260000000000005</v>
      </c>
    </row>
    <row r="49" spans="2:19" x14ac:dyDescent="0.25">
      <c r="D49" s="5">
        <v>40301</v>
      </c>
      <c r="E49" s="6">
        <v>12035</v>
      </c>
      <c r="F49" s="6">
        <v>-93.5</v>
      </c>
      <c r="G49" s="6">
        <v>0</v>
      </c>
      <c r="H49" s="6">
        <f t="shared" ref="H49:H50" si="1">E49+F49+G49</f>
        <v>11941.5</v>
      </c>
      <c r="I49" s="6">
        <f>H49-H48</f>
        <v>255.5</v>
      </c>
      <c r="J49" s="6">
        <v>15.14</v>
      </c>
      <c r="K49" s="6">
        <v>18</v>
      </c>
      <c r="L49" s="6">
        <v>65.23</v>
      </c>
      <c r="M49" s="6">
        <v>-9.0500000000000007</v>
      </c>
      <c r="N49" s="6">
        <v>4.0999999999999996</v>
      </c>
      <c r="O49" s="6">
        <v>-9.9700000000000006</v>
      </c>
      <c r="P49" s="6">
        <f>100-66.48</f>
        <v>33.519999999999996</v>
      </c>
    </row>
    <row r="50" spans="2:19" x14ac:dyDescent="0.25">
      <c r="D50" s="5">
        <v>40320</v>
      </c>
      <c r="E50" s="6">
        <v>10911.5</v>
      </c>
      <c r="F50" s="6">
        <v>0</v>
      </c>
      <c r="G50" s="6">
        <v>0</v>
      </c>
      <c r="H50" s="6">
        <f t="shared" si="1"/>
        <v>10911.5</v>
      </c>
      <c r="I50" s="6">
        <f>H50-H48</f>
        <v>-774.5</v>
      </c>
      <c r="J50" s="6"/>
      <c r="K50" s="6"/>
      <c r="L50" s="6"/>
      <c r="M50" s="6"/>
      <c r="N50" s="6"/>
      <c r="O50" s="6"/>
      <c r="P50" s="6"/>
    </row>
    <row r="53" spans="2:19" x14ac:dyDescent="0.25">
      <c r="B53">
        <v>5</v>
      </c>
      <c r="C53" t="s">
        <v>62</v>
      </c>
      <c r="D53" t="s">
        <v>69</v>
      </c>
      <c r="E53" t="s">
        <v>88</v>
      </c>
      <c r="F53" t="s">
        <v>29</v>
      </c>
      <c r="G53" t="s">
        <v>86</v>
      </c>
      <c r="H53" t="s">
        <v>87</v>
      </c>
      <c r="I53" t="s">
        <v>3</v>
      </c>
      <c r="J53" t="s">
        <v>4</v>
      </c>
      <c r="K53" t="s">
        <v>75</v>
      </c>
      <c r="L53" t="s">
        <v>2</v>
      </c>
      <c r="M53" t="s">
        <v>83</v>
      </c>
      <c r="N53" t="s">
        <v>73</v>
      </c>
      <c r="O53" t="s">
        <v>74</v>
      </c>
      <c r="P53" t="s">
        <v>20</v>
      </c>
      <c r="Q53" t="s">
        <v>21</v>
      </c>
      <c r="R53" t="s">
        <v>22</v>
      </c>
      <c r="S53" t="s">
        <v>85</v>
      </c>
    </row>
    <row r="54" spans="2:19" x14ac:dyDescent="0.25">
      <c r="D54" t="s">
        <v>70</v>
      </c>
      <c r="E54" s="5">
        <v>40301</v>
      </c>
      <c r="F54" s="6">
        <v>1.18</v>
      </c>
      <c r="G54" s="6">
        <v>-1</v>
      </c>
      <c r="H54" s="6">
        <f>F54*G54*100</f>
        <v>-118</v>
      </c>
      <c r="I54" s="6">
        <f>F55</f>
        <v>120.35</v>
      </c>
      <c r="J54" s="6">
        <v>124</v>
      </c>
      <c r="K54" s="6">
        <v>15.73</v>
      </c>
      <c r="L54" s="5">
        <v>40347</v>
      </c>
      <c r="M54" s="6">
        <v>46</v>
      </c>
      <c r="N54" s="6" t="s">
        <v>76</v>
      </c>
      <c r="O54" s="6" t="s">
        <v>77</v>
      </c>
      <c r="P54" s="6">
        <f>J54-I54+F54</f>
        <v>4.8300000000000054</v>
      </c>
      <c r="Q54" s="6">
        <v>0</v>
      </c>
      <c r="R54" s="6">
        <f>I54-F54</f>
        <v>119.16999999999999</v>
      </c>
      <c r="S54" s="6">
        <f>J54+F54</f>
        <v>125.18</v>
      </c>
    </row>
    <row r="55" spans="2:19" x14ac:dyDescent="0.25">
      <c r="D55" t="s">
        <v>71</v>
      </c>
      <c r="E55" s="5">
        <v>40301</v>
      </c>
      <c r="F55" s="6">
        <v>120.35</v>
      </c>
      <c r="G55" s="6">
        <v>100</v>
      </c>
      <c r="H55" s="6">
        <f>F55*G55</f>
        <v>12035</v>
      </c>
      <c r="I55" s="6"/>
      <c r="J55" s="6"/>
      <c r="K55" s="6"/>
    </row>
    <row r="56" spans="2:19" x14ac:dyDescent="0.25">
      <c r="D56" t="s">
        <v>32</v>
      </c>
      <c r="E56" s="5">
        <v>40301</v>
      </c>
      <c r="F56" s="6"/>
      <c r="G56" s="6"/>
      <c r="H56" s="6">
        <f>H55+H54</f>
        <v>11917</v>
      </c>
      <c r="I56" s="6"/>
      <c r="J56" s="6"/>
      <c r="K56" s="6"/>
    </row>
    <row r="58" spans="2:19" x14ac:dyDescent="0.25">
      <c r="C58" t="s">
        <v>90</v>
      </c>
      <c r="D58" t="s">
        <v>88</v>
      </c>
      <c r="E58" t="s">
        <v>71</v>
      </c>
      <c r="F58" t="s">
        <v>92</v>
      </c>
      <c r="G58" t="s">
        <v>93</v>
      </c>
      <c r="H58" t="s">
        <v>32</v>
      </c>
      <c r="I58" t="s">
        <v>84</v>
      </c>
      <c r="J58" t="s">
        <v>75</v>
      </c>
      <c r="K58" t="s">
        <v>2</v>
      </c>
      <c r="L58" t="s">
        <v>78</v>
      </c>
      <c r="M58" t="s">
        <v>79</v>
      </c>
      <c r="N58" t="s">
        <v>81</v>
      </c>
      <c r="O58" t="s">
        <v>80</v>
      </c>
      <c r="P58" t="s">
        <v>82</v>
      </c>
    </row>
    <row r="59" spans="2:19" x14ac:dyDescent="0.25">
      <c r="D59" s="5">
        <v>40301</v>
      </c>
      <c r="E59" s="6">
        <f>H55</f>
        <v>12035</v>
      </c>
      <c r="F59" s="6">
        <f>H54</f>
        <v>-118</v>
      </c>
      <c r="G59" s="6">
        <v>0</v>
      </c>
      <c r="H59" s="6">
        <f>E59+F59+G59</f>
        <v>11917</v>
      </c>
      <c r="I59" s="6"/>
      <c r="J59" s="6">
        <f>K54</f>
        <v>15.73</v>
      </c>
      <c r="K59" s="6">
        <f>M54</f>
        <v>46</v>
      </c>
      <c r="L59" s="6">
        <v>71.17</v>
      </c>
      <c r="M59" s="6">
        <v>-5.09</v>
      </c>
      <c r="N59" s="6">
        <v>2.27</v>
      </c>
      <c r="O59" s="6">
        <v>-14.63</v>
      </c>
      <c r="P59" s="6">
        <f>100-73.05</f>
        <v>26.950000000000003</v>
      </c>
    </row>
    <row r="60" spans="2:19" x14ac:dyDescent="0.25">
      <c r="D60" s="5">
        <v>40326</v>
      </c>
      <c r="E60" s="6">
        <v>10936.9</v>
      </c>
      <c r="F60" s="6">
        <f>-100*0.025</f>
        <v>-2.5</v>
      </c>
      <c r="G60" s="6">
        <v>0</v>
      </c>
      <c r="H60" s="6">
        <f t="shared" ref="H60:H61" si="2">E60+F60+G60</f>
        <v>10934.4</v>
      </c>
      <c r="I60" s="6">
        <f>H60-H59</f>
        <v>-982.60000000000036</v>
      </c>
      <c r="J60" s="6">
        <v>23.52</v>
      </c>
      <c r="K60" s="6">
        <v>21</v>
      </c>
      <c r="L60" s="6">
        <v>98.81</v>
      </c>
      <c r="M60" s="6">
        <v>-0.05</v>
      </c>
      <c r="N60" s="6">
        <v>0.4</v>
      </c>
      <c r="O60" s="6">
        <v>-0.83</v>
      </c>
      <c r="P60" s="6">
        <f>100-98.98</f>
        <v>1.019999999999996</v>
      </c>
    </row>
    <row r="61" spans="2:19" x14ac:dyDescent="0.25">
      <c r="D61" s="5">
        <v>40348</v>
      </c>
      <c r="E61" s="6">
        <v>11172.9</v>
      </c>
      <c r="F61" s="6">
        <v>0</v>
      </c>
      <c r="G61" s="6">
        <v>0</v>
      </c>
      <c r="H61" s="6">
        <f t="shared" si="2"/>
        <v>11172.9</v>
      </c>
      <c r="I61" s="6">
        <f>H61-H59</f>
        <v>-744.10000000000036</v>
      </c>
      <c r="J61" s="6"/>
      <c r="K61" s="6"/>
      <c r="L61" s="6"/>
      <c r="M61" s="6"/>
      <c r="N61" s="6"/>
      <c r="O61" s="6"/>
      <c r="P61" s="6"/>
    </row>
    <row r="63" spans="2:19" x14ac:dyDescent="0.25">
      <c r="B63">
        <v>6</v>
      </c>
      <c r="C63" t="s">
        <v>62</v>
      </c>
      <c r="D63" t="s">
        <v>69</v>
      </c>
      <c r="E63" t="s">
        <v>88</v>
      </c>
      <c r="F63" t="s">
        <v>29</v>
      </c>
      <c r="G63" t="s">
        <v>86</v>
      </c>
      <c r="H63" t="s">
        <v>87</v>
      </c>
      <c r="I63" t="s">
        <v>3</v>
      </c>
      <c r="J63" t="s">
        <v>4</v>
      </c>
      <c r="K63" t="s">
        <v>75</v>
      </c>
      <c r="L63" t="s">
        <v>2</v>
      </c>
      <c r="M63" t="s">
        <v>83</v>
      </c>
      <c r="N63" t="s">
        <v>73</v>
      </c>
      <c r="O63" t="s">
        <v>74</v>
      </c>
      <c r="P63" t="s">
        <v>20</v>
      </c>
      <c r="Q63" t="s">
        <v>21</v>
      </c>
      <c r="R63" t="s">
        <v>22</v>
      </c>
      <c r="S63" t="s">
        <v>85</v>
      </c>
    </row>
    <row r="64" spans="2:19" x14ac:dyDescent="0.25">
      <c r="D64" t="s">
        <v>70</v>
      </c>
      <c r="E64" s="5">
        <v>40330</v>
      </c>
      <c r="F64" s="6">
        <v>1.36</v>
      </c>
      <c r="G64" s="6">
        <v>-1</v>
      </c>
      <c r="H64" s="6">
        <f>F64*G64*100</f>
        <v>-136</v>
      </c>
      <c r="I64" s="6">
        <f>F65</f>
        <v>107.53</v>
      </c>
      <c r="J64" s="6">
        <v>112</v>
      </c>
      <c r="K64" s="6">
        <v>26.51</v>
      </c>
      <c r="L64" s="5">
        <v>40359</v>
      </c>
      <c r="M64" s="6">
        <v>29</v>
      </c>
      <c r="N64" s="6" t="s">
        <v>76</v>
      </c>
      <c r="O64" s="6" t="s">
        <v>77</v>
      </c>
      <c r="P64" s="6">
        <f>J64-I64+F64</f>
        <v>5.8299999999999992</v>
      </c>
      <c r="Q64" s="6">
        <v>0</v>
      </c>
      <c r="R64" s="6">
        <f>I64-F64</f>
        <v>106.17</v>
      </c>
      <c r="S64" s="6">
        <f>J64+F64</f>
        <v>113.36</v>
      </c>
    </row>
    <row r="65" spans="2:23" x14ac:dyDescent="0.25">
      <c r="D65" t="s">
        <v>71</v>
      </c>
      <c r="E65" s="5">
        <v>40330</v>
      </c>
      <c r="F65" s="6">
        <v>107.53</v>
      </c>
      <c r="G65" s="6">
        <v>100</v>
      </c>
      <c r="H65" s="6">
        <f>F65*G65</f>
        <v>10753</v>
      </c>
      <c r="I65" s="6"/>
      <c r="J65" s="6"/>
      <c r="K65" s="6"/>
    </row>
    <row r="66" spans="2:23" x14ac:dyDescent="0.25">
      <c r="D66" t="s">
        <v>32</v>
      </c>
      <c r="E66" s="5">
        <v>40330</v>
      </c>
      <c r="F66" s="6"/>
      <c r="G66" s="6"/>
      <c r="H66" s="6">
        <f>H65+H64</f>
        <v>10617</v>
      </c>
      <c r="I66" s="6"/>
      <c r="J66" s="6"/>
      <c r="K66" s="6"/>
    </row>
    <row r="68" spans="2:23" x14ac:dyDescent="0.25">
      <c r="C68" t="s">
        <v>90</v>
      </c>
      <c r="D68" t="s">
        <v>88</v>
      </c>
      <c r="E68" t="s">
        <v>71</v>
      </c>
      <c r="F68" t="s">
        <v>92</v>
      </c>
      <c r="G68" t="s">
        <v>93</v>
      </c>
      <c r="H68" t="s">
        <v>32</v>
      </c>
      <c r="I68" t="s">
        <v>84</v>
      </c>
      <c r="J68" t="s">
        <v>75</v>
      </c>
      <c r="K68" t="s">
        <v>2</v>
      </c>
      <c r="L68" t="s">
        <v>78</v>
      </c>
      <c r="M68" t="s">
        <v>79</v>
      </c>
      <c r="N68" t="s">
        <v>81</v>
      </c>
      <c r="O68" t="s">
        <v>80</v>
      </c>
      <c r="P68" t="s">
        <v>82</v>
      </c>
      <c r="Q68" t="s">
        <v>3</v>
      </c>
      <c r="R68" t="s">
        <v>94</v>
      </c>
      <c r="S68" t="s">
        <v>95</v>
      </c>
      <c r="T68" t="s">
        <v>96</v>
      </c>
      <c r="U68" t="s">
        <v>97</v>
      </c>
      <c r="V68" t="s">
        <v>99</v>
      </c>
      <c r="W68" t="s">
        <v>98</v>
      </c>
    </row>
    <row r="69" spans="2:23" x14ac:dyDescent="0.25">
      <c r="D69" s="5">
        <f>E64</f>
        <v>40330</v>
      </c>
      <c r="E69" s="6">
        <f>H65</f>
        <v>10753</v>
      </c>
      <c r="F69" s="6">
        <f>H64</f>
        <v>-136</v>
      </c>
      <c r="G69" s="6">
        <v>0</v>
      </c>
      <c r="H69" s="6">
        <f>E69+F69+G69</f>
        <v>10617</v>
      </c>
      <c r="I69" s="6"/>
      <c r="J69" s="6">
        <f>K64</f>
        <v>26.51</v>
      </c>
      <c r="K69" s="6">
        <f>M64</f>
        <v>29</v>
      </c>
      <c r="L69" s="6">
        <v>71.78</v>
      </c>
      <c r="M69" s="6">
        <v>-4.21</v>
      </c>
      <c r="N69" s="6">
        <v>4.13</v>
      </c>
      <c r="O69" s="6">
        <v>-10.27</v>
      </c>
      <c r="P69" s="6">
        <f>100-74.26</f>
        <v>25.739999999999995</v>
      </c>
      <c r="Q69" s="6">
        <v>107.53</v>
      </c>
    </row>
    <row r="70" spans="2:23" x14ac:dyDescent="0.25">
      <c r="D70" s="5">
        <v>40331</v>
      </c>
      <c r="E70" s="6">
        <v>11033</v>
      </c>
      <c r="F70" s="6">
        <v>-195</v>
      </c>
      <c r="G70" s="6">
        <v>0</v>
      </c>
      <c r="H70" s="6">
        <f t="shared" ref="H70:H72" si="3">E70+F70+G70</f>
        <v>10838</v>
      </c>
      <c r="I70" s="6">
        <f>H70-H69</f>
        <v>221</v>
      </c>
      <c r="J70" s="6">
        <v>23.92</v>
      </c>
      <c r="K70" s="6">
        <v>28</v>
      </c>
      <c r="L70" s="6">
        <v>60.73</v>
      </c>
      <c r="M70" s="6">
        <v>-5.34</v>
      </c>
      <c r="N70" s="6">
        <v>4.2</v>
      </c>
      <c r="O70" s="6">
        <v>-11.75</v>
      </c>
      <c r="P70" s="6">
        <f>100-63.49</f>
        <v>36.51</v>
      </c>
      <c r="Q70" s="6">
        <v>110.33</v>
      </c>
      <c r="R70">
        <f>(Q70-Q69)*L69</f>
        <v>200.98399999999981</v>
      </c>
      <c r="S70" s="9">
        <f>0.5*M69*POWER(Q70-Q69, 2)</f>
        <v>-16.503199999999968</v>
      </c>
      <c r="T70" s="9">
        <f>N69</f>
        <v>4.13</v>
      </c>
      <c r="U70" s="6">
        <f>O69*(J70-J69)</f>
        <v>26.599299999999996</v>
      </c>
      <c r="V70" s="9">
        <f>R70+S70+T70+U70</f>
        <v>215.21009999999984</v>
      </c>
      <c r="W70">
        <f>SUM($V$69:V70)</f>
        <v>215.21009999999984</v>
      </c>
    </row>
    <row r="71" spans="2:23" x14ac:dyDescent="0.25">
      <c r="D71" s="5">
        <v>40332</v>
      </c>
      <c r="E71" s="6">
        <v>11071</v>
      </c>
      <c r="F71" s="6">
        <v>-218</v>
      </c>
      <c r="G71" s="6">
        <v>0</v>
      </c>
      <c r="H71" s="6">
        <f t="shared" si="3"/>
        <v>10853</v>
      </c>
      <c r="I71" s="6">
        <f>H71-H69</f>
        <v>236</v>
      </c>
      <c r="J71" s="6">
        <v>23.85</v>
      </c>
      <c r="K71" s="6">
        <v>27</v>
      </c>
      <c r="L71" s="6">
        <v>57.26</v>
      </c>
      <c r="M71" s="6">
        <v>-5.47</v>
      </c>
      <c r="N71" s="6">
        <v>4.79</v>
      </c>
      <c r="O71" s="6">
        <v>-11.86</v>
      </c>
      <c r="P71" s="6">
        <f>100-59.86</f>
        <v>40.14</v>
      </c>
      <c r="Q71" s="6">
        <v>110.71</v>
      </c>
      <c r="R71">
        <f>L70*(Q71-Q70)</f>
        <v>23.077399999999724</v>
      </c>
      <c r="S71" s="6">
        <f>0.5*M70*POWER(Q71-Q70,2)</f>
        <v>-0.38554799999999073</v>
      </c>
      <c r="T71" s="6">
        <f>N70</f>
        <v>4.2</v>
      </c>
      <c r="U71" s="6">
        <f>O70*(J71-J70)</f>
        <v>0.82250000000000334</v>
      </c>
      <c r="V71" s="6">
        <f>R71+S71+T71+U71</f>
        <v>27.714351999999735</v>
      </c>
      <c r="W71">
        <f>SUM($V$69:V71)</f>
        <v>242.92445199999958</v>
      </c>
    </row>
    <row r="72" spans="2:23" x14ac:dyDescent="0.25">
      <c r="D72" s="5">
        <v>40360</v>
      </c>
      <c r="E72" s="6">
        <v>10276</v>
      </c>
      <c r="F72" s="6">
        <v>0</v>
      </c>
      <c r="G72" s="6">
        <v>0</v>
      </c>
      <c r="H72" s="6">
        <f t="shared" si="3"/>
        <v>10276</v>
      </c>
      <c r="I72" s="6">
        <f>H72-H69</f>
        <v>-341</v>
      </c>
      <c r="J72" s="6"/>
      <c r="K72" s="6"/>
      <c r="L72" s="6"/>
      <c r="M72" s="6"/>
      <c r="N72" s="6"/>
      <c r="O72" s="6"/>
      <c r="P72" s="6"/>
      <c r="Q72" s="6">
        <v>102.76</v>
      </c>
      <c r="R72" s="6"/>
      <c r="S72" s="6"/>
      <c r="T72" s="6"/>
      <c r="U72" s="6"/>
      <c r="V72" s="6"/>
      <c r="W72" s="6"/>
    </row>
    <row r="76" spans="2:23" x14ac:dyDescent="0.25">
      <c r="B76">
        <v>7</v>
      </c>
      <c r="C76" t="s">
        <v>62</v>
      </c>
      <c r="D76" t="s">
        <v>69</v>
      </c>
      <c r="E76" t="s">
        <v>88</v>
      </c>
      <c r="F76" t="s">
        <v>29</v>
      </c>
      <c r="G76" t="s">
        <v>86</v>
      </c>
      <c r="H76" t="s">
        <v>87</v>
      </c>
      <c r="I76" t="s">
        <v>3</v>
      </c>
      <c r="J76" t="s">
        <v>4</v>
      </c>
      <c r="K76" t="s">
        <v>75</v>
      </c>
      <c r="L76" t="s">
        <v>2</v>
      </c>
      <c r="M76" t="s">
        <v>83</v>
      </c>
      <c r="N76" t="s">
        <v>73</v>
      </c>
      <c r="O76" t="s">
        <v>74</v>
      </c>
      <c r="P76" t="s">
        <v>20</v>
      </c>
      <c r="Q76" t="s">
        <v>21</v>
      </c>
      <c r="R76" t="s">
        <v>22</v>
      </c>
      <c r="S76" t="s">
        <v>85</v>
      </c>
    </row>
    <row r="77" spans="2:23" x14ac:dyDescent="0.25">
      <c r="D77" t="s">
        <v>91</v>
      </c>
      <c r="E77" s="5">
        <v>40360</v>
      </c>
      <c r="F77" s="6">
        <v>1.6</v>
      </c>
      <c r="G77" s="6">
        <v>-1</v>
      </c>
      <c r="H77" s="6">
        <f>F77*G77*100</f>
        <v>-160</v>
      </c>
      <c r="I77" s="6">
        <f>F78</f>
        <v>102.76</v>
      </c>
      <c r="J77" s="6">
        <v>109</v>
      </c>
      <c r="K77" s="6">
        <v>25.44</v>
      </c>
      <c r="L77" s="5">
        <v>40410</v>
      </c>
      <c r="M77" s="6">
        <v>50</v>
      </c>
      <c r="N77" s="6" t="s">
        <v>76</v>
      </c>
      <c r="O77" s="6" t="s">
        <v>77</v>
      </c>
    </row>
    <row r="78" spans="2:23" x14ac:dyDescent="0.25">
      <c r="D78" t="s">
        <v>71</v>
      </c>
      <c r="E78" s="5">
        <v>40360</v>
      </c>
      <c r="F78" s="6">
        <v>102.76</v>
      </c>
      <c r="G78" s="6">
        <v>100</v>
      </c>
      <c r="H78" s="6">
        <f>F78*G78</f>
        <v>10276</v>
      </c>
      <c r="I78" s="6"/>
      <c r="J78" s="6"/>
      <c r="K78" s="6"/>
    </row>
    <row r="79" spans="2:23" x14ac:dyDescent="0.25">
      <c r="D79" t="s">
        <v>63</v>
      </c>
      <c r="E79" s="5">
        <v>40360</v>
      </c>
      <c r="F79" s="6"/>
      <c r="G79" s="6"/>
      <c r="H79" s="6">
        <f>H78+H77</f>
        <v>10116</v>
      </c>
      <c r="I79" s="6"/>
      <c r="J79" s="6"/>
      <c r="K79" s="6"/>
      <c r="P79" s="6">
        <f>J77-I77+F77</f>
        <v>7.8399999999999945</v>
      </c>
      <c r="Q79" s="6">
        <v>0</v>
      </c>
      <c r="R79" s="6">
        <f>I77-F77</f>
        <v>101.16000000000001</v>
      </c>
      <c r="S79" s="6">
        <f>J77+F77</f>
        <v>110.6</v>
      </c>
    </row>
    <row r="81" spans="2:23" x14ac:dyDescent="0.25">
      <c r="C81" t="s">
        <v>90</v>
      </c>
      <c r="D81" t="s">
        <v>88</v>
      </c>
      <c r="E81" t="s">
        <v>71</v>
      </c>
      <c r="F81" t="s">
        <v>92</v>
      </c>
      <c r="G81" t="s">
        <v>93</v>
      </c>
      <c r="H81" t="s">
        <v>32</v>
      </c>
      <c r="I81" t="s">
        <v>84</v>
      </c>
      <c r="J81" t="s">
        <v>75</v>
      </c>
      <c r="K81" t="s">
        <v>2</v>
      </c>
      <c r="L81" t="s">
        <v>78</v>
      </c>
      <c r="M81" t="s">
        <v>79</v>
      </c>
      <c r="N81" t="s">
        <v>81</v>
      </c>
      <c r="O81" t="s">
        <v>80</v>
      </c>
      <c r="P81" t="s">
        <v>82</v>
      </c>
      <c r="Q81" t="s">
        <v>3</v>
      </c>
      <c r="R81" t="s">
        <v>94</v>
      </c>
      <c r="S81" t="s">
        <v>95</v>
      </c>
      <c r="T81" t="s">
        <v>96</v>
      </c>
      <c r="U81" t="s">
        <v>97</v>
      </c>
      <c r="V81" t="s">
        <v>99</v>
      </c>
      <c r="W81" t="s">
        <v>98</v>
      </c>
    </row>
    <row r="82" spans="2:23" x14ac:dyDescent="0.25">
      <c r="D82" s="5">
        <f>E77</f>
        <v>40360</v>
      </c>
      <c r="E82" s="6">
        <f>H78</f>
        <v>10276</v>
      </c>
      <c r="F82" s="6">
        <f>H77</f>
        <v>-160</v>
      </c>
      <c r="G82" s="6">
        <v>0</v>
      </c>
      <c r="H82" s="6">
        <f>E82+F82+G82</f>
        <v>10116</v>
      </c>
      <c r="I82" s="6"/>
      <c r="J82" s="6">
        <f>K77</f>
        <v>25.44</v>
      </c>
      <c r="K82" s="6">
        <f>M77</f>
        <v>50</v>
      </c>
      <c r="L82" s="6">
        <v>72.06</v>
      </c>
      <c r="M82" s="6">
        <v>-3.47</v>
      </c>
      <c r="N82" s="6">
        <v>3.21</v>
      </c>
      <c r="O82" s="6">
        <v>-12.84</v>
      </c>
      <c r="P82" s="6">
        <f>100-75.13</f>
        <v>24.870000000000005</v>
      </c>
      <c r="Q82" s="6">
        <f>I77</f>
        <v>102.76</v>
      </c>
      <c r="R82" s="6"/>
      <c r="S82" s="6"/>
      <c r="T82" s="6"/>
      <c r="U82" s="6"/>
      <c r="V82" s="6"/>
      <c r="W82" s="6"/>
    </row>
    <row r="83" spans="2:23" x14ac:dyDescent="0.25">
      <c r="D83" s="5">
        <v>40361</v>
      </c>
      <c r="E83" s="6">
        <v>10220</v>
      </c>
      <c r="F83" s="6">
        <v>-112</v>
      </c>
      <c r="G83" s="6">
        <v>0</v>
      </c>
      <c r="H83" s="6">
        <f t="shared" ref="H83:H84" si="4">E83+F83+G83</f>
        <v>10108</v>
      </c>
      <c r="I83" s="6">
        <f>H83-H$82</f>
        <v>-8</v>
      </c>
      <c r="J83" s="6">
        <v>23.3</v>
      </c>
      <c r="K83" s="6">
        <v>49</v>
      </c>
      <c r="L83" s="6">
        <v>77.05</v>
      </c>
      <c r="M83" s="6">
        <v>-3.47</v>
      </c>
      <c r="N83" s="6">
        <v>2.57</v>
      </c>
      <c r="O83" s="6">
        <v>-11.4</v>
      </c>
      <c r="P83" s="6">
        <f>110-79.53</f>
        <v>30.47</v>
      </c>
      <c r="Q83" s="6">
        <v>102.2</v>
      </c>
      <c r="R83" s="6">
        <f>(Q83-Q82)*L82</f>
        <v>-40.353600000000164</v>
      </c>
      <c r="S83" s="6">
        <f>0.5*M82*POWER(Q83-Q82, 2)</f>
        <v>-0.54409600000000446</v>
      </c>
      <c r="T83" s="6">
        <f>N82</f>
        <v>3.21</v>
      </c>
      <c r="U83" s="6">
        <f>O82*(J83-J82)</f>
        <v>27.477600000000006</v>
      </c>
      <c r="V83" s="6">
        <f>R83+S83+T83+U83</f>
        <v>-10.21009600000016</v>
      </c>
      <c r="W83" s="6">
        <f>SUM($V$83:V83)</f>
        <v>-10.21009600000016</v>
      </c>
    </row>
    <row r="84" spans="2:23" x14ac:dyDescent="0.25">
      <c r="D84" s="5">
        <v>40365</v>
      </c>
      <c r="E84" s="6">
        <v>10287</v>
      </c>
      <c r="F84" s="6">
        <v>-117.5</v>
      </c>
      <c r="G84" s="6">
        <v>0</v>
      </c>
      <c r="H84" s="6">
        <f t="shared" si="4"/>
        <v>10169.5</v>
      </c>
      <c r="I84" s="6">
        <f t="shared" ref="I84:I86" si="5">H84-H$82</f>
        <v>53.5</v>
      </c>
      <c r="J84" s="6">
        <v>22.81</v>
      </c>
      <c r="K84" s="6">
        <v>45</v>
      </c>
      <c r="L84" s="6">
        <v>75.17</v>
      </c>
      <c r="M84" s="6">
        <v>-3.83</v>
      </c>
      <c r="N84" s="6">
        <v>2.89</v>
      </c>
      <c r="O84" s="6">
        <v>-11.48</v>
      </c>
      <c r="P84" s="6">
        <f>100-77.64</f>
        <v>22.36</v>
      </c>
      <c r="Q84" s="6">
        <v>102.87</v>
      </c>
      <c r="R84" s="6">
        <f>L83*(Q84-Q83)</f>
        <v>51.623500000000128</v>
      </c>
      <c r="S84" s="6">
        <f>0.5*M83*POWER(Q84-Q83,2)</f>
        <v>-0.77884150000000407</v>
      </c>
      <c r="T84" s="6">
        <f>N83*4</f>
        <v>10.28</v>
      </c>
      <c r="U84" s="6">
        <f>O83*(J84-J83)</f>
        <v>5.5860000000000225</v>
      </c>
      <c r="V84" s="6">
        <f>R84+S84+T84+U84</f>
        <v>66.71065850000015</v>
      </c>
      <c r="W84" s="6">
        <f>SUM($V$83:V84)</f>
        <v>56.500562499999987</v>
      </c>
    </row>
    <row r="85" spans="2:23" x14ac:dyDescent="0.25">
      <c r="D85" s="5">
        <v>40366</v>
      </c>
      <c r="E85" s="6">
        <v>10610.75</v>
      </c>
      <c r="F85" s="6">
        <v>-221.5</v>
      </c>
      <c r="G85" s="6">
        <v>0</v>
      </c>
      <c r="H85" s="6">
        <f>E85+F85+G85</f>
        <v>10389.25</v>
      </c>
      <c r="I85" s="6">
        <f t="shared" si="5"/>
        <v>273.25</v>
      </c>
      <c r="J85" s="6">
        <v>23.22</v>
      </c>
      <c r="K85" s="6">
        <v>44</v>
      </c>
      <c r="L85" s="6">
        <v>61.48</v>
      </c>
      <c r="M85" s="6">
        <v>-4.45</v>
      </c>
      <c r="N85" s="6">
        <v>3.72</v>
      </c>
      <c r="O85" s="6">
        <v>-14.14</v>
      </c>
      <c r="P85" s="6">
        <f>100-64.54</f>
        <v>35.459999999999994</v>
      </c>
      <c r="Q85" s="6">
        <v>106.1</v>
      </c>
      <c r="R85" s="6">
        <f>L84*(Q85-Q84)</f>
        <v>242.79909999999924</v>
      </c>
      <c r="S85" s="6">
        <f>0.5*M84*POWER(Q85-Q84,2)</f>
        <v>-19.979003499999873</v>
      </c>
      <c r="T85" s="6">
        <f>N84</f>
        <v>2.89</v>
      </c>
      <c r="U85" s="6">
        <f>O84*(J85-J84)</f>
        <v>-4.7068000000000021</v>
      </c>
      <c r="V85" s="6">
        <f>R85+S85+T85+U85</f>
        <v>221.00329649999935</v>
      </c>
      <c r="W85" s="6">
        <f>SUM($V$83:V85)</f>
        <v>277.50385899999935</v>
      </c>
    </row>
    <row r="86" spans="2:23" x14ac:dyDescent="0.25">
      <c r="D86" s="5">
        <v>40411</v>
      </c>
      <c r="E86" s="6">
        <v>10753</v>
      </c>
      <c r="F86" s="6">
        <v>0</v>
      </c>
      <c r="G86" s="6">
        <v>0</v>
      </c>
      <c r="H86" s="6">
        <f>E86+F86+G86</f>
        <v>10753</v>
      </c>
      <c r="I86" s="6">
        <f t="shared" si="5"/>
        <v>637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9" spans="2:23" x14ac:dyDescent="0.25">
      <c r="B89">
        <v>8</v>
      </c>
      <c r="C89" t="s">
        <v>62</v>
      </c>
      <c r="D89" t="s">
        <v>69</v>
      </c>
      <c r="E89" t="s">
        <v>88</v>
      </c>
      <c r="F89" t="s">
        <v>29</v>
      </c>
      <c r="G89" t="s">
        <v>86</v>
      </c>
      <c r="H89" t="s">
        <v>87</v>
      </c>
      <c r="I89" t="s">
        <v>3</v>
      </c>
      <c r="J89" t="s">
        <v>4</v>
      </c>
      <c r="K89" t="s">
        <v>75</v>
      </c>
      <c r="L89" t="s">
        <v>2</v>
      </c>
      <c r="M89" t="s">
        <v>83</v>
      </c>
      <c r="N89" t="s">
        <v>73</v>
      </c>
      <c r="O89" t="s">
        <v>74</v>
      </c>
      <c r="P89" t="s">
        <v>20</v>
      </c>
      <c r="Q89" t="s">
        <v>21</v>
      </c>
      <c r="R89" t="s">
        <v>22</v>
      </c>
      <c r="S89" t="s">
        <v>85</v>
      </c>
    </row>
    <row r="90" spans="2:23" x14ac:dyDescent="0.25">
      <c r="D90" t="s">
        <v>91</v>
      </c>
      <c r="E90" s="5">
        <v>40392</v>
      </c>
      <c r="F90" s="6">
        <v>1.1000000000000001</v>
      </c>
      <c r="G90" s="6">
        <v>-1</v>
      </c>
      <c r="H90" s="6">
        <f>F90*G90*100</f>
        <v>-110.00000000000001</v>
      </c>
      <c r="I90" s="6">
        <f>F91</f>
        <v>112.76</v>
      </c>
      <c r="J90" s="6">
        <v>117</v>
      </c>
      <c r="K90" s="6">
        <v>18.510000000000002</v>
      </c>
      <c r="L90" s="5">
        <v>40438</v>
      </c>
      <c r="M90" s="6">
        <v>46</v>
      </c>
      <c r="N90" s="6" t="s">
        <v>76</v>
      </c>
      <c r="O90" s="6" t="s">
        <v>77</v>
      </c>
    </row>
    <row r="91" spans="2:23" x14ac:dyDescent="0.25">
      <c r="D91" t="s">
        <v>71</v>
      </c>
      <c r="E91" s="5">
        <v>40392</v>
      </c>
      <c r="F91" s="6">
        <v>112.76</v>
      </c>
      <c r="G91" s="6">
        <v>100</v>
      </c>
      <c r="H91" s="6">
        <f>F91*G91</f>
        <v>11276</v>
      </c>
      <c r="I91" s="6"/>
      <c r="J91" s="6"/>
      <c r="K91" s="6"/>
    </row>
    <row r="92" spans="2:23" x14ac:dyDescent="0.25">
      <c r="D92" t="s">
        <v>63</v>
      </c>
      <c r="E92" s="5">
        <v>40392</v>
      </c>
      <c r="F92" s="6"/>
      <c r="G92" s="6"/>
      <c r="H92" s="6">
        <f>H91+H90</f>
        <v>11166</v>
      </c>
      <c r="I92" s="6"/>
      <c r="J92" s="6"/>
      <c r="K92" s="6"/>
      <c r="P92" s="6">
        <f>J90-I90+F90</f>
        <v>5.3399999999999945</v>
      </c>
      <c r="Q92" s="6">
        <v>0</v>
      </c>
      <c r="R92" s="6">
        <f>I90-F90</f>
        <v>111.66000000000001</v>
      </c>
      <c r="S92" s="6">
        <f>J90+F90</f>
        <v>118.1</v>
      </c>
    </row>
    <row r="94" spans="2:23" x14ac:dyDescent="0.25">
      <c r="C94" t="s">
        <v>90</v>
      </c>
      <c r="D94" t="s">
        <v>88</v>
      </c>
      <c r="E94" t="s">
        <v>71</v>
      </c>
      <c r="F94" t="s">
        <v>92</v>
      </c>
      <c r="G94" t="s">
        <v>93</v>
      </c>
      <c r="H94" t="s">
        <v>32</v>
      </c>
      <c r="I94" t="s">
        <v>84</v>
      </c>
      <c r="J94" t="s">
        <v>75</v>
      </c>
      <c r="K94" t="s">
        <v>2</v>
      </c>
      <c r="L94" t="s">
        <v>78</v>
      </c>
      <c r="M94" t="s">
        <v>79</v>
      </c>
      <c r="N94" t="s">
        <v>81</v>
      </c>
      <c r="O94" t="s">
        <v>80</v>
      </c>
      <c r="P94" t="s">
        <v>82</v>
      </c>
      <c r="Q94" t="s">
        <v>3</v>
      </c>
      <c r="R94" t="s">
        <v>94</v>
      </c>
      <c r="S94" t="s">
        <v>95</v>
      </c>
      <c r="T94" t="s">
        <v>96</v>
      </c>
      <c r="U94" t="s">
        <v>97</v>
      </c>
      <c r="V94" t="s">
        <v>99</v>
      </c>
      <c r="W94" t="s">
        <v>98</v>
      </c>
    </row>
    <row r="95" spans="2:23" x14ac:dyDescent="0.25">
      <c r="D95" s="5">
        <f>E90</f>
        <v>40392</v>
      </c>
      <c r="E95" s="6">
        <f>H91</f>
        <v>11276</v>
      </c>
      <c r="F95" s="6">
        <f>H90</f>
        <v>-110.00000000000001</v>
      </c>
      <c r="G95" s="6">
        <v>0</v>
      </c>
      <c r="H95" s="6">
        <f>E95+F95+G95</f>
        <v>11166</v>
      </c>
      <c r="I95" s="6"/>
      <c r="J95" s="6">
        <f>K90</f>
        <v>18.510000000000002</v>
      </c>
      <c r="K95" s="6">
        <f>M90</f>
        <v>46</v>
      </c>
      <c r="L95" s="6">
        <v>73.3</v>
      </c>
      <c r="M95" s="6">
        <v>-4.7300000000000004</v>
      </c>
      <c r="N95" s="6">
        <v>2.2599999999999998</v>
      </c>
      <c r="O95" s="6">
        <v>-13.2</v>
      </c>
      <c r="P95" s="6">
        <f>100-75.29</f>
        <v>24.709999999999994</v>
      </c>
      <c r="Q95" s="6">
        <f>I90</f>
        <v>112.76</v>
      </c>
      <c r="R95" s="6"/>
      <c r="S95" s="6"/>
      <c r="T95" s="6"/>
      <c r="U95" s="6"/>
      <c r="V95" s="6"/>
      <c r="W95" s="6"/>
    </row>
    <row r="96" spans="2:23" x14ac:dyDescent="0.25">
      <c r="D96" s="5">
        <v>40393</v>
      </c>
      <c r="E96" s="6">
        <v>11222</v>
      </c>
      <c r="F96" s="6">
        <v>-101</v>
      </c>
      <c r="G96" s="6">
        <v>0</v>
      </c>
      <c r="H96" s="6">
        <f t="shared" ref="H96:H97" si="6">E96+F96+G96</f>
        <v>11121</v>
      </c>
      <c r="I96" s="6">
        <f>H96-H$95</f>
        <v>-45</v>
      </c>
      <c r="J96" s="6">
        <v>17.75</v>
      </c>
      <c r="K96" s="6">
        <v>45</v>
      </c>
      <c r="L96" s="6">
        <v>75.08</v>
      </c>
      <c r="M96" s="6">
        <v>-4.53</v>
      </c>
      <c r="N96" s="6">
        <v>2.31</v>
      </c>
      <c r="O96" s="6">
        <v>-12.55</v>
      </c>
      <c r="P96" s="6">
        <f>100-77</f>
        <v>23</v>
      </c>
      <c r="Q96" s="6">
        <v>112.22</v>
      </c>
      <c r="R96" s="6">
        <f>(Q96-Q95)*L95</f>
        <v>-39.582000000000455</v>
      </c>
      <c r="S96" s="6">
        <f>0.5*M95*POWER(Q96-Q95, 2)</f>
        <v>-0.68963400000001596</v>
      </c>
      <c r="T96" s="6">
        <f>N95</f>
        <v>2.2599999999999998</v>
      </c>
      <c r="U96" s="6">
        <f>O95*(J96-J95)</f>
        <v>10.03200000000002</v>
      </c>
      <c r="V96" s="6">
        <f>R96+S96+T96+U96</f>
        <v>-27.979634000000459</v>
      </c>
      <c r="W96" s="6">
        <f>SUM($V$96:V96)</f>
        <v>-27.979634000000459</v>
      </c>
    </row>
    <row r="97" spans="3:23" x14ac:dyDescent="0.25">
      <c r="D97" s="5">
        <v>40394</v>
      </c>
      <c r="E97" s="6">
        <v>11297</v>
      </c>
      <c r="F97" s="6">
        <v>-117</v>
      </c>
      <c r="G97" s="6">
        <v>0</v>
      </c>
      <c r="H97" s="6">
        <f t="shared" si="6"/>
        <v>11180</v>
      </c>
      <c r="I97" s="6">
        <f t="shared" ref="I97:I99" si="7">H97-H$95</f>
        <v>14</v>
      </c>
      <c r="J97" s="6">
        <v>17.8</v>
      </c>
      <c r="K97" s="6">
        <v>44</v>
      </c>
      <c r="L97" s="6">
        <v>72.11</v>
      </c>
      <c r="M97" s="6">
        <v>-4.8099999999999996</v>
      </c>
      <c r="N97" s="6">
        <v>2.44</v>
      </c>
      <c r="O97" s="6">
        <v>-13.22</v>
      </c>
      <c r="P97" s="6">
        <f>100-77.64</f>
        <v>22.36</v>
      </c>
      <c r="Q97" s="6">
        <v>112.97</v>
      </c>
      <c r="R97" s="6">
        <f>L96*(Q97-Q96)</f>
        <v>56.31</v>
      </c>
      <c r="S97" s="6">
        <f>0.5*M96*POWER(Q97-Q96,2)</f>
        <v>-1.2740625000000001</v>
      </c>
      <c r="T97" s="6">
        <f>N96</f>
        <v>2.31</v>
      </c>
      <c r="U97" s="6">
        <f>O96*(J97-J96)</f>
        <v>-0.62750000000000894</v>
      </c>
      <c r="V97" s="6">
        <f>R97+S97+T97+U97</f>
        <v>56.718437499999993</v>
      </c>
      <c r="W97" s="6">
        <f>SUM($V$96:V97)</f>
        <v>28.738803499999534</v>
      </c>
    </row>
    <row r="98" spans="3:23" x14ac:dyDescent="0.25">
      <c r="D98" s="5">
        <v>40395</v>
      </c>
      <c r="E98" s="6">
        <v>11285</v>
      </c>
      <c r="F98" s="6">
        <v>-109</v>
      </c>
      <c r="G98" s="6">
        <v>0</v>
      </c>
      <c r="H98" s="6">
        <f>E98+F98+G98</f>
        <v>11176</v>
      </c>
      <c r="I98" s="6">
        <f t="shared" si="7"/>
        <v>10</v>
      </c>
      <c r="J98" s="6">
        <v>17.600000000000001</v>
      </c>
      <c r="K98" s="6">
        <v>43</v>
      </c>
      <c r="L98" s="6">
        <v>73.09</v>
      </c>
      <c r="M98" s="6">
        <v>-4.84</v>
      </c>
      <c r="N98" s="6">
        <v>2.4</v>
      </c>
      <c r="O98" s="6">
        <v>-12.83</v>
      </c>
      <c r="P98" s="6">
        <f>100-75.05</f>
        <v>24.950000000000003</v>
      </c>
      <c r="Q98" s="6">
        <v>112.85</v>
      </c>
      <c r="R98" s="6">
        <f>L97*(Q98-Q97)</f>
        <v>-8.6532000000003286</v>
      </c>
      <c r="S98" s="6">
        <f>0.5*M97*POWER(Q98-Q97,2)</f>
        <v>-3.4632000000002619E-2</v>
      </c>
      <c r="T98" s="6">
        <f>N97</f>
        <v>2.44</v>
      </c>
      <c r="U98" s="6">
        <f>O97*(J98-J97)</f>
        <v>2.6439999999999908</v>
      </c>
      <c r="V98" s="6">
        <f>R98+S98+T98+U98</f>
        <v>-3.6038320000003403</v>
      </c>
      <c r="W98" s="6">
        <f>SUM($V$96:V98)</f>
        <v>25.134971499999192</v>
      </c>
    </row>
    <row r="99" spans="3:23" x14ac:dyDescent="0.25">
      <c r="D99" s="5">
        <v>40411</v>
      </c>
      <c r="E99" s="6">
        <v>11249</v>
      </c>
      <c r="F99" s="6">
        <v>0</v>
      </c>
      <c r="G99" s="6">
        <v>0</v>
      </c>
      <c r="H99" s="6">
        <f>E99+F99+G99</f>
        <v>11249</v>
      </c>
      <c r="I99" s="6">
        <f t="shared" si="7"/>
        <v>83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6" spans="3:23" x14ac:dyDescent="0.25">
      <c r="D106" t="s">
        <v>102</v>
      </c>
      <c r="E106" t="s">
        <v>100</v>
      </c>
      <c r="F106" t="s">
        <v>101</v>
      </c>
      <c r="G106" t="s">
        <v>103</v>
      </c>
      <c r="H106" t="s">
        <v>104</v>
      </c>
      <c r="I106" t="s">
        <v>105</v>
      </c>
      <c r="J106" t="s">
        <v>107</v>
      </c>
      <c r="K106" t="s">
        <v>109</v>
      </c>
      <c r="L106" t="s">
        <v>104</v>
      </c>
    </row>
    <row r="107" spans="3:23" x14ac:dyDescent="0.25">
      <c r="C107">
        <v>1</v>
      </c>
      <c r="D107" s="6">
        <v>113.33</v>
      </c>
      <c r="E107" s="6">
        <v>112.155</v>
      </c>
      <c r="F107" s="6">
        <v>118.175</v>
      </c>
      <c r="G107" s="6">
        <v>111.14</v>
      </c>
      <c r="H107" s="6" t="s">
        <v>106</v>
      </c>
      <c r="I107" s="6">
        <v>-1.0149999999999999</v>
      </c>
      <c r="J107" s="6">
        <f>G107-D107</f>
        <v>-2.1899999999999977</v>
      </c>
      <c r="K107" s="9">
        <f>I107-J107</f>
        <v>1.1749999999999978</v>
      </c>
      <c r="L107" t="str">
        <f>IF(K107&gt;0,"win","loss")</f>
        <v>win</v>
      </c>
    </row>
    <row r="108" spans="3:23" x14ac:dyDescent="0.25">
      <c r="C108">
        <v>2</v>
      </c>
      <c r="D108" s="6">
        <v>109.06</v>
      </c>
      <c r="E108" s="6">
        <v>107.81</v>
      </c>
      <c r="F108" s="6">
        <v>114.25</v>
      </c>
      <c r="G108" s="6">
        <v>115.97</v>
      </c>
      <c r="H108" s="6" t="s">
        <v>106</v>
      </c>
      <c r="I108" s="6">
        <v>5.19</v>
      </c>
      <c r="J108" s="6">
        <f>G108-D108</f>
        <v>6.9099999999999966</v>
      </c>
      <c r="K108" s="9">
        <f t="shared" ref="K108:K114" si="8">I108-J108</f>
        <v>-1.7199999999999962</v>
      </c>
      <c r="L108" t="str">
        <f t="shared" ref="L108:L114" si="9">IF(K108&gt;0,"win","loss")</f>
        <v>loss</v>
      </c>
    </row>
    <row r="109" spans="3:23" x14ac:dyDescent="0.25">
      <c r="C109">
        <v>3</v>
      </c>
      <c r="D109" s="6">
        <v>111.89</v>
      </c>
      <c r="E109" s="6">
        <v>110.935</v>
      </c>
      <c r="F109" s="6">
        <v>114.955</v>
      </c>
      <c r="G109" s="6">
        <v>117.8</v>
      </c>
      <c r="H109" s="6" t="s">
        <v>106</v>
      </c>
      <c r="I109" s="6">
        <v>3.8650000000000002</v>
      </c>
      <c r="J109" s="6">
        <f t="shared" ref="J109:J114" si="10">G109-D109</f>
        <v>5.9099999999999966</v>
      </c>
      <c r="K109" s="9">
        <f t="shared" si="8"/>
        <v>-2.0449999999999964</v>
      </c>
      <c r="L109" t="str">
        <f t="shared" si="9"/>
        <v>loss</v>
      </c>
    </row>
    <row r="110" spans="3:23" x14ac:dyDescent="0.25">
      <c r="C110">
        <v>4</v>
      </c>
      <c r="D110" s="6">
        <v>117.8</v>
      </c>
      <c r="E110" s="6">
        <v>116.86</v>
      </c>
      <c r="F110" s="6">
        <v>122.94</v>
      </c>
      <c r="G110" s="6">
        <v>109.11499999999999</v>
      </c>
      <c r="H110" s="6" t="s">
        <v>106</v>
      </c>
      <c r="I110" s="6">
        <v>-7.7450000000000001</v>
      </c>
      <c r="J110" s="6">
        <f t="shared" si="10"/>
        <v>-8.6850000000000023</v>
      </c>
      <c r="K110" s="9">
        <f t="shared" si="8"/>
        <v>0.94000000000000217</v>
      </c>
      <c r="L110" t="str">
        <f t="shared" si="9"/>
        <v>win</v>
      </c>
    </row>
    <row r="111" spans="3:23" x14ac:dyDescent="0.25">
      <c r="C111">
        <v>5</v>
      </c>
      <c r="D111" s="6">
        <v>120.35</v>
      </c>
      <c r="E111" s="6">
        <v>119.16999999999999</v>
      </c>
      <c r="F111" s="6">
        <v>125.18</v>
      </c>
      <c r="G111" s="6">
        <v>111.729</v>
      </c>
      <c r="H111" s="6" t="s">
        <v>106</v>
      </c>
      <c r="I111" s="6">
        <v>-7.4409999999999998</v>
      </c>
      <c r="J111" s="6">
        <f t="shared" si="10"/>
        <v>-8.6209999999999951</v>
      </c>
      <c r="K111" s="9">
        <f t="shared" si="8"/>
        <v>1.1799999999999953</v>
      </c>
      <c r="L111" t="str">
        <f t="shared" si="9"/>
        <v>win</v>
      </c>
    </row>
    <row r="112" spans="3:23" x14ac:dyDescent="0.25">
      <c r="C112">
        <v>6</v>
      </c>
      <c r="D112" s="6">
        <v>107.53</v>
      </c>
      <c r="E112" s="6">
        <v>106.17</v>
      </c>
      <c r="F112" s="6">
        <v>113.36</v>
      </c>
      <c r="G112" s="6">
        <v>102.76</v>
      </c>
      <c r="H112" s="6" t="s">
        <v>106</v>
      </c>
      <c r="I112" s="6">
        <v>-3.41</v>
      </c>
      <c r="J112" s="6">
        <f t="shared" si="10"/>
        <v>-4.769999999999996</v>
      </c>
      <c r="K112" s="9">
        <f t="shared" si="8"/>
        <v>1.3599999999999959</v>
      </c>
      <c r="L112" t="str">
        <f t="shared" si="9"/>
        <v>win</v>
      </c>
    </row>
    <row r="113" spans="3:12" x14ac:dyDescent="0.25">
      <c r="C113">
        <v>7</v>
      </c>
      <c r="D113" s="6">
        <v>102.76</v>
      </c>
      <c r="E113" s="6">
        <v>101.16000000000001</v>
      </c>
      <c r="F113" s="6">
        <v>110.6</v>
      </c>
      <c r="G113" s="6">
        <v>107.53</v>
      </c>
      <c r="H113" s="6" t="s">
        <v>108</v>
      </c>
      <c r="I113" s="6">
        <v>6.37</v>
      </c>
      <c r="J113" s="6">
        <f>G113-D113</f>
        <v>4.769999999999996</v>
      </c>
      <c r="K113" s="9">
        <f t="shared" si="8"/>
        <v>1.6000000000000041</v>
      </c>
      <c r="L113" t="str">
        <f t="shared" si="9"/>
        <v>win</v>
      </c>
    </row>
    <row r="114" spans="3:12" x14ac:dyDescent="0.25">
      <c r="C114">
        <v>8</v>
      </c>
      <c r="D114" s="6">
        <v>112.76</v>
      </c>
      <c r="E114" s="6">
        <v>111.66000000000001</v>
      </c>
      <c r="F114" s="6">
        <v>118.1</v>
      </c>
      <c r="G114" s="6">
        <v>112.49</v>
      </c>
      <c r="H114" s="6" t="s">
        <v>108</v>
      </c>
      <c r="I114" s="6">
        <v>0.83</v>
      </c>
      <c r="J114" s="6">
        <f t="shared" si="10"/>
        <v>-0.27000000000001023</v>
      </c>
      <c r="K114" s="9">
        <f t="shared" si="8"/>
        <v>1.1000000000000103</v>
      </c>
      <c r="L114" t="str">
        <f t="shared" si="9"/>
        <v>win</v>
      </c>
    </row>
    <row r="118" spans="3:12" x14ac:dyDescent="0.25">
      <c r="I118" t="s">
        <v>110</v>
      </c>
      <c r="J118" t="s">
        <v>105</v>
      </c>
      <c r="K118" t="s">
        <v>112</v>
      </c>
    </row>
    <row r="119" spans="3:12" x14ac:dyDescent="0.25">
      <c r="G119" t="s">
        <v>34</v>
      </c>
      <c r="H119" t="s">
        <v>108</v>
      </c>
      <c r="I119" s="10">
        <f>2/8</f>
        <v>0.25</v>
      </c>
      <c r="J119" s="9">
        <f>AVERAGE(I113:I114)</f>
        <v>3.6</v>
      </c>
      <c r="K119" s="9">
        <f>I119*J119</f>
        <v>0.9</v>
      </c>
    </row>
    <row r="120" spans="3:12" x14ac:dyDescent="0.25">
      <c r="H120" t="s">
        <v>106</v>
      </c>
      <c r="I120" s="10">
        <f>6/8</f>
        <v>0.75</v>
      </c>
      <c r="J120" s="9">
        <f>AVERAGE(I107:I112)</f>
        <v>-1.7593333333333332</v>
      </c>
      <c r="K120" s="9">
        <f>I120*J120</f>
        <v>-1.3194999999999999</v>
      </c>
      <c r="L120" s="9">
        <f>K120+K119</f>
        <v>-0.41949999999999987</v>
      </c>
    </row>
    <row r="121" spans="3:12" x14ac:dyDescent="0.25">
      <c r="G121" t="s">
        <v>111</v>
      </c>
      <c r="H121" t="s">
        <v>108</v>
      </c>
      <c r="I121" s="10">
        <f>6/8</f>
        <v>0.75</v>
      </c>
      <c r="J121" s="9">
        <f>AVERAGE(K107,K110:K114)</f>
        <v>1.2258333333333342</v>
      </c>
      <c r="K121" s="9">
        <f>I121*J121</f>
        <v>0.91937500000000072</v>
      </c>
    </row>
    <row r="122" spans="3:12" x14ac:dyDescent="0.25">
      <c r="H122" t="s">
        <v>106</v>
      </c>
      <c r="I122" s="10">
        <f>2/8</f>
        <v>0.25</v>
      </c>
      <c r="J122" s="9">
        <f>AVERAGE(K108:K109)</f>
        <v>-1.8824999999999963</v>
      </c>
      <c r="K122" s="9">
        <f>I122*J122</f>
        <v>-0.47062499999999907</v>
      </c>
      <c r="L122" s="9">
        <f>K122+K121</f>
        <v>0.44875000000000165</v>
      </c>
    </row>
    <row r="124" spans="3:12" x14ac:dyDescent="0.25">
      <c r="D124" t="s">
        <v>68</v>
      </c>
      <c r="E124" t="s">
        <v>105</v>
      </c>
      <c r="F124" t="s">
        <v>113</v>
      </c>
    </row>
    <row r="125" spans="3:12" x14ac:dyDescent="0.25">
      <c r="C125">
        <v>1</v>
      </c>
      <c r="D125">
        <f>H14</f>
        <v>11215.5</v>
      </c>
      <c r="E125" s="9">
        <f>I107*100</f>
        <v>-101.49999999999999</v>
      </c>
      <c r="F125" s="11">
        <f>E125/D125</f>
        <v>-9.0499754803619985E-3</v>
      </c>
    </row>
    <row r="126" spans="3:12" x14ac:dyDescent="0.25">
      <c r="C126">
        <v>2</v>
      </c>
      <c r="D126">
        <f>I26*0.1</f>
        <v>10781</v>
      </c>
      <c r="E126" s="9">
        <f t="shared" ref="E126:E132" si="11">I108*100</f>
        <v>519</v>
      </c>
      <c r="F126" s="11">
        <f t="shared" ref="F126:F132" si="12">E126/D126</f>
        <v>4.8140246730358965E-2</v>
      </c>
    </row>
    <row r="127" spans="3:12" x14ac:dyDescent="0.25">
      <c r="C127">
        <v>3</v>
      </c>
      <c r="D127" s="9">
        <f>H34</f>
        <v>11093.5</v>
      </c>
      <c r="E127" s="9">
        <f t="shared" si="11"/>
        <v>386.5</v>
      </c>
      <c r="F127" s="11">
        <f t="shared" si="12"/>
        <v>3.4840221751476087E-2</v>
      </c>
    </row>
    <row r="128" spans="3:12" x14ac:dyDescent="0.25">
      <c r="C128">
        <v>4</v>
      </c>
      <c r="D128" s="9">
        <f>H45</f>
        <v>11686</v>
      </c>
      <c r="E128" s="9">
        <f t="shared" si="11"/>
        <v>-774.5</v>
      </c>
      <c r="F128" s="11">
        <f t="shared" si="12"/>
        <v>-6.627588567516686E-2</v>
      </c>
    </row>
    <row r="129" spans="3:6" x14ac:dyDescent="0.25">
      <c r="C129">
        <v>5</v>
      </c>
      <c r="D129" s="9">
        <f>H56</f>
        <v>11917</v>
      </c>
      <c r="E129" s="9">
        <f t="shared" si="11"/>
        <v>-744.1</v>
      </c>
      <c r="F129" s="11">
        <f t="shared" si="12"/>
        <v>-6.2440211462616434E-2</v>
      </c>
    </row>
    <row r="130" spans="3:6" x14ac:dyDescent="0.25">
      <c r="C130">
        <v>6</v>
      </c>
      <c r="D130" s="9">
        <f>H66</f>
        <v>10617</v>
      </c>
      <c r="E130" s="9">
        <f t="shared" si="11"/>
        <v>-341</v>
      </c>
      <c r="F130" s="11">
        <f t="shared" si="12"/>
        <v>-3.2118300838278234E-2</v>
      </c>
    </row>
    <row r="131" spans="3:6" x14ac:dyDescent="0.25">
      <c r="C131">
        <v>7</v>
      </c>
      <c r="D131" s="9">
        <f>H79</f>
        <v>10116</v>
      </c>
      <c r="E131" s="9">
        <f t="shared" si="11"/>
        <v>637</v>
      </c>
      <c r="F131" s="11">
        <f t="shared" si="12"/>
        <v>6.2969553183076316E-2</v>
      </c>
    </row>
    <row r="132" spans="3:6" x14ac:dyDescent="0.25">
      <c r="C132">
        <v>8</v>
      </c>
      <c r="D132" s="9">
        <f>H92</f>
        <v>11166</v>
      </c>
      <c r="E132" s="9">
        <f t="shared" si="11"/>
        <v>83</v>
      </c>
      <c r="F132" s="11">
        <f t="shared" si="12"/>
        <v>7.4332795987820171E-3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4497-5980-4EA6-BE67-8E60C48D5389}">
  <dimension ref="A1:AB71"/>
  <sheetViews>
    <sheetView zoomScale="115" zoomScaleNormal="115" workbookViewId="0">
      <selection activeCell="F21" sqref="F21"/>
    </sheetView>
  </sheetViews>
  <sheetFormatPr defaultRowHeight="15" x14ac:dyDescent="0.25"/>
  <cols>
    <col min="1" max="1" width="12.28515625" bestFit="1" customWidth="1"/>
    <col min="2" max="2" width="22.5703125" bestFit="1" customWidth="1"/>
    <col min="3" max="3" width="9" bestFit="1" customWidth="1"/>
    <col min="4" max="4" width="11.5703125" bestFit="1" customWidth="1"/>
    <col min="5" max="5" width="10.28515625" bestFit="1" customWidth="1"/>
    <col min="6" max="6" width="21.5703125" bestFit="1" customWidth="1"/>
    <col min="7" max="7" width="36.85546875" bestFit="1" customWidth="1"/>
    <col min="8" max="8" width="8.42578125" bestFit="1" customWidth="1"/>
    <col min="9" max="9" width="10.42578125" bestFit="1" customWidth="1"/>
    <col min="10" max="10" width="10.5703125" bestFit="1" customWidth="1"/>
    <col min="11" max="11" width="8.42578125" bestFit="1" customWidth="1"/>
    <col min="12" max="12" width="14.140625" bestFit="1" customWidth="1"/>
    <col min="13" max="13" width="13" bestFit="1" customWidth="1"/>
    <col min="14" max="14" width="8.5703125" bestFit="1" customWidth="1"/>
    <col min="15" max="15" width="20.140625" bestFit="1" customWidth="1"/>
    <col min="16" max="17" width="10.7109375" bestFit="1" customWidth="1"/>
    <col min="18" max="18" width="8.5703125" bestFit="1" customWidth="1"/>
    <col min="19" max="19" width="8" bestFit="1" customWidth="1"/>
    <col min="20" max="20" width="15.28515625" bestFit="1" customWidth="1"/>
    <col min="21" max="21" width="10.85546875" bestFit="1" customWidth="1"/>
    <col min="22" max="22" width="9.140625" customWidth="1"/>
    <col min="23" max="23" width="8.85546875" bestFit="1" customWidth="1"/>
  </cols>
  <sheetData>
    <row r="1" spans="1:13" ht="15.75" thickBot="1" x14ac:dyDescent="0.3">
      <c r="A1" s="1">
        <v>2</v>
      </c>
      <c r="B1" s="2" t="s">
        <v>0</v>
      </c>
    </row>
    <row r="2" spans="1:13" x14ac:dyDescent="0.25">
      <c r="F2" t="s">
        <v>28</v>
      </c>
      <c r="J2" t="s">
        <v>132</v>
      </c>
    </row>
    <row r="3" spans="1:13" x14ac:dyDescent="0.25">
      <c r="F3" t="s">
        <v>71</v>
      </c>
      <c r="G3" t="s">
        <v>15</v>
      </c>
      <c r="J3" cm="1">
        <f t="array" aca="1" ref="J3:J7" ca="1">_xlfn.RANDARRAY(5,1,65,90,TRUE)</f>
        <v>72</v>
      </c>
      <c r="K3" t="str">
        <f ca="1">CHAR(J3)</f>
        <v>H</v>
      </c>
      <c r="L3" cm="1">
        <f t="array" aca="1" ref="L3:L7" ca="1">_xlfn.RANDARRAY(5,1,0,9,TRUE)</f>
        <v>2</v>
      </c>
      <c r="M3" t="str">
        <f ca="1">_xlfn.CONCAT(_xlfn.ANCHORARRAY(L3)) &amp; "-" &amp; _xlfn.CONCAT(K3:K7)</f>
        <v>29519-HGHXL</v>
      </c>
    </row>
    <row r="4" spans="1:13" x14ac:dyDescent="0.25">
      <c r="F4" t="s">
        <v>91</v>
      </c>
      <c r="G4" t="s">
        <v>117</v>
      </c>
      <c r="J4">
        <f ca="1"/>
        <v>71</v>
      </c>
      <c r="K4" t="str">
        <f ca="1">CHAR(J4)</f>
        <v>G</v>
      </c>
      <c r="L4">
        <f ca="1"/>
        <v>9</v>
      </c>
    </row>
    <row r="5" spans="1:13" x14ac:dyDescent="0.25">
      <c r="F5" t="s">
        <v>34</v>
      </c>
      <c r="G5" t="s">
        <v>118</v>
      </c>
      <c r="J5">
        <f ca="1"/>
        <v>72</v>
      </c>
      <c r="K5" t="str">
        <f ca="1">CHAR(J5)</f>
        <v>H</v>
      </c>
      <c r="L5">
        <f ca="1"/>
        <v>5</v>
      </c>
    </row>
    <row r="6" spans="1:13" x14ac:dyDescent="0.25">
      <c r="G6" t="s">
        <v>119</v>
      </c>
      <c r="J6">
        <f ca="1"/>
        <v>88</v>
      </c>
      <c r="K6" t="str">
        <f ca="1">CHAR(J6)</f>
        <v>X</v>
      </c>
      <c r="L6">
        <f ca="1"/>
        <v>1</v>
      </c>
    </row>
    <row r="7" spans="1:13" x14ac:dyDescent="0.25">
      <c r="J7">
        <f ca="1"/>
        <v>76</v>
      </c>
      <c r="K7" t="str">
        <f ca="1">CHAR(J7)</f>
        <v>L</v>
      </c>
      <c r="L7">
        <f ca="1"/>
        <v>9</v>
      </c>
    </row>
    <row r="8" spans="1:13" x14ac:dyDescent="0.25">
      <c r="B8" t="s">
        <v>123</v>
      </c>
    </row>
    <row r="9" spans="1:13" x14ac:dyDescent="0.25">
      <c r="B9" t="s">
        <v>3</v>
      </c>
      <c r="C9" t="s">
        <v>15</v>
      </c>
    </row>
    <row r="10" spans="1:13" x14ac:dyDescent="0.25">
      <c r="B10" t="s">
        <v>2</v>
      </c>
      <c r="C10" t="s">
        <v>115</v>
      </c>
    </row>
    <row r="11" spans="1:13" x14ac:dyDescent="0.25">
      <c r="B11" t="s">
        <v>5</v>
      </c>
      <c r="C11" t="s">
        <v>16</v>
      </c>
    </row>
    <row r="12" spans="1:13" x14ac:dyDescent="0.25">
      <c r="B12" t="s">
        <v>4</v>
      </c>
      <c r="C12" t="s">
        <v>133</v>
      </c>
    </row>
    <row r="32" spans="2:23" x14ac:dyDescent="0.25">
      <c r="B32">
        <v>1</v>
      </c>
      <c r="C32" t="s">
        <v>62</v>
      </c>
      <c r="D32" t="s">
        <v>69</v>
      </c>
      <c r="E32" t="s">
        <v>88</v>
      </c>
      <c r="F32" t="s">
        <v>28</v>
      </c>
      <c r="G32" t="s">
        <v>138</v>
      </c>
      <c r="H32" t="s">
        <v>35</v>
      </c>
      <c r="I32" t="s">
        <v>30</v>
      </c>
      <c r="J32" t="s">
        <v>29</v>
      </c>
      <c r="K32" t="s">
        <v>86</v>
      </c>
      <c r="L32" t="s">
        <v>87</v>
      </c>
      <c r="M32" t="s">
        <v>3</v>
      </c>
      <c r="N32" t="s">
        <v>4</v>
      </c>
      <c r="O32" t="s">
        <v>75</v>
      </c>
      <c r="P32" t="s">
        <v>2</v>
      </c>
      <c r="Q32" t="s">
        <v>83</v>
      </c>
      <c r="R32" t="s">
        <v>73</v>
      </c>
      <c r="S32" t="s">
        <v>74</v>
      </c>
      <c r="T32" t="s">
        <v>20</v>
      </c>
      <c r="U32" t="s">
        <v>21</v>
      </c>
      <c r="V32" t="s">
        <v>22</v>
      </c>
      <c r="W32" t="s">
        <v>85</v>
      </c>
    </row>
    <row r="33" spans="1:28" x14ac:dyDescent="0.25">
      <c r="C33" t="s">
        <v>37</v>
      </c>
      <c r="D33" t="s">
        <v>91</v>
      </c>
      <c r="E33" s="5">
        <v>40546</v>
      </c>
      <c r="F33" t="s">
        <v>134</v>
      </c>
      <c r="G33">
        <v>0.82</v>
      </c>
      <c r="H33" s="13">
        <v>0</v>
      </c>
      <c r="I33" s="13">
        <v>0</v>
      </c>
      <c r="J33" s="6">
        <f>G33*(1-H33-I33)</f>
        <v>0.82</v>
      </c>
      <c r="K33" s="6">
        <v>-1</v>
      </c>
      <c r="L33" s="6">
        <f>J33*K33*100</f>
        <v>-82</v>
      </c>
      <c r="M33" s="6">
        <f>G34</f>
        <v>127.05</v>
      </c>
      <c r="N33" s="6">
        <v>132</v>
      </c>
      <c r="O33" s="6">
        <v>14.25</v>
      </c>
      <c r="P33" s="5">
        <v>40592</v>
      </c>
      <c r="Q33" s="6">
        <v>46</v>
      </c>
      <c r="R33" s="6" t="s">
        <v>76</v>
      </c>
      <c r="S33" s="6" t="s">
        <v>77</v>
      </c>
    </row>
    <row r="34" spans="1:28" x14ac:dyDescent="0.25">
      <c r="D34" t="s">
        <v>71</v>
      </c>
      <c r="E34" s="5">
        <v>40546</v>
      </c>
      <c r="F34" t="s">
        <v>15</v>
      </c>
      <c r="G34">
        <v>127.05</v>
      </c>
      <c r="H34" s="13">
        <v>0</v>
      </c>
      <c r="I34" s="13">
        <v>0</v>
      </c>
      <c r="J34" s="6">
        <f>G34*(1+H34+I34)</f>
        <v>127.05</v>
      </c>
      <c r="K34" s="6">
        <v>100</v>
      </c>
      <c r="L34" s="6">
        <f>J34*K34</f>
        <v>12705</v>
      </c>
      <c r="M34" s="6"/>
      <c r="N34" s="6"/>
      <c r="O34" s="6"/>
    </row>
    <row r="35" spans="1:28" x14ac:dyDescent="0.25">
      <c r="D35" t="s">
        <v>63</v>
      </c>
      <c r="E35" s="5">
        <v>40546</v>
      </c>
      <c r="F35" t="s">
        <v>135</v>
      </c>
      <c r="J35" s="6">
        <f>J34-J33</f>
        <v>126.23</v>
      </c>
      <c r="K35" s="6"/>
      <c r="L35" s="6">
        <f>L34+L33</f>
        <v>12623</v>
      </c>
      <c r="M35" s="6"/>
      <c r="N35" s="6"/>
      <c r="O35" s="6"/>
      <c r="T35" s="6">
        <f>N33-J34+J33</f>
        <v>5.7700000000000031</v>
      </c>
      <c r="U35" s="6">
        <v>0</v>
      </c>
      <c r="V35" s="6">
        <f>J34-J33</f>
        <v>126.23</v>
      </c>
      <c r="W35" s="6">
        <f>N33+J33</f>
        <v>132.82</v>
      </c>
    </row>
    <row r="36" spans="1:28" x14ac:dyDescent="0.25">
      <c r="H36" s="13">
        <v>0</v>
      </c>
      <c r="I36" s="13">
        <v>0</v>
      </c>
      <c r="J36" s="6">
        <f>132-G33</f>
        <v>131.18</v>
      </c>
      <c r="K36" s="6">
        <v>100</v>
      </c>
      <c r="L36" s="6">
        <f>J36*K36</f>
        <v>13118</v>
      </c>
    </row>
    <row r="37" spans="1:28" x14ac:dyDescent="0.25">
      <c r="C37" t="s">
        <v>64</v>
      </c>
      <c r="E37" s="5"/>
      <c r="H37" s="13"/>
      <c r="I37" s="13"/>
      <c r="J37" s="6"/>
      <c r="K37" s="6"/>
      <c r="L37" s="6"/>
    </row>
    <row r="38" spans="1:28" x14ac:dyDescent="0.25">
      <c r="C38" t="s">
        <v>65</v>
      </c>
      <c r="D38" s="9">
        <f>L36-L35</f>
        <v>495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8" x14ac:dyDescent="0.25">
      <c r="D39" s="5" t="s">
        <v>125</v>
      </c>
      <c r="E39" s="6" t="s">
        <v>64</v>
      </c>
      <c r="F39" s="6" t="s">
        <v>93</v>
      </c>
      <c r="G39" t="s">
        <v>66</v>
      </c>
      <c r="H39" s="6" t="s">
        <v>65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8" x14ac:dyDescent="0.25">
      <c r="C40" t="s">
        <v>38</v>
      </c>
      <c r="D40">
        <v>134.53</v>
      </c>
      <c r="E40">
        <f>D40-G34</f>
        <v>7.480000000000004</v>
      </c>
      <c r="F40" s="9">
        <f>-MAX(D40-N33, 0)</f>
        <v>-2.5300000000000011</v>
      </c>
      <c r="G40" s="9">
        <f>J33</f>
        <v>0.82</v>
      </c>
      <c r="H40" s="9">
        <f>E40+F40+G40</f>
        <v>5.7700000000000031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8" x14ac:dyDescent="0.2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8" x14ac:dyDescent="0.25">
      <c r="D42" s="5"/>
      <c r="E42" s="6"/>
      <c r="F42" s="6"/>
      <c r="G42" s="6"/>
      <c r="H42" s="6"/>
      <c r="I42" s="6"/>
      <c r="J42" s="14" t="s">
        <v>9</v>
      </c>
      <c r="K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8" x14ac:dyDescent="0.25">
      <c r="J43" s="14" t="s">
        <v>10</v>
      </c>
    </row>
    <row r="44" spans="1:28" x14ac:dyDescent="0.25">
      <c r="J44" s="14" t="s">
        <v>8</v>
      </c>
    </row>
    <row r="45" spans="1:28" x14ac:dyDescent="0.25">
      <c r="J45" s="14" t="s">
        <v>36</v>
      </c>
    </row>
    <row r="46" spans="1:28" x14ac:dyDescent="0.25">
      <c r="A46" t="s">
        <v>140</v>
      </c>
    </row>
    <row r="47" spans="1:28" x14ac:dyDescent="0.25">
      <c r="A47" t="s">
        <v>124</v>
      </c>
      <c r="D47" t="s">
        <v>37</v>
      </c>
      <c r="G47" t="s">
        <v>38</v>
      </c>
      <c r="L47" t="s">
        <v>128</v>
      </c>
    </row>
    <row r="48" spans="1:28" x14ac:dyDescent="0.25">
      <c r="A48" t="s">
        <v>25</v>
      </c>
      <c r="B48" t="s">
        <v>121</v>
      </c>
      <c r="C48" t="s">
        <v>120</v>
      </c>
      <c r="D48" t="s">
        <v>26</v>
      </c>
      <c r="E48" t="s">
        <v>126</v>
      </c>
      <c r="F48" t="s">
        <v>125</v>
      </c>
      <c r="G48" t="s">
        <v>88</v>
      </c>
      <c r="H48" t="s">
        <v>126</v>
      </c>
      <c r="I48" t="s">
        <v>125</v>
      </c>
      <c r="J48" t="s">
        <v>127</v>
      </c>
      <c r="K48" t="s">
        <v>65</v>
      </c>
      <c r="L48" t="s">
        <v>129</v>
      </c>
      <c r="M48" t="s">
        <v>139</v>
      </c>
      <c r="N48" t="s">
        <v>21</v>
      </c>
      <c r="O48" t="s">
        <v>131</v>
      </c>
      <c r="P48" t="s">
        <v>141</v>
      </c>
      <c r="Q48" t="s">
        <v>142</v>
      </c>
      <c r="R48" t="s">
        <v>104</v>
      </c>
      <c r="S48" t="s">
        <v>105</v>
      </c>
      <c r="T48" t="s">
        <v>122</v>
      </c>
      <c r="U48" t="s">
        <v>130</v>
      </c>
      <c r="V48" t="s">
        <v>105</v>
      </c>
      <c r="X48" t="s">
        <v>3</v>
      </c>
      <c r="Y48" t="s">
        <v>4</v>
      </c>
      <c r="Z48" t="s">
        <v>144</v>
      </c>
      <c r="AA48" t="s">
        <v>100</v>
      </c>
      <c r="AB48" t="s">
        <v>101</v>
      </c>
    </row>
    <row r="49" spans="1:28" x14ac:dyDescent="0.25">
      <c r="A49" t="s">
        <v>136</v>
      </c>
      <c r="B49" t="s">
        <v>116</v>
      </c>
      <c r="C49" t="s">
        <v>137</v>
      </c>
      <c r="D49" s="5">
        <v>40546.395833333336</v>
      </c>
      <c r="E49" s="12">
        <v>0.39583333333333331</v>
      </c>
      <c r="F49">
        <v>127.05</v>
      </c>
      <c r="G49" s="5">
        <v>40592</v>
      </c>
      <c r="H49" s="12">
        <v>0.39583333333333331</v>
      </c>
      <c r="I49" s="6">
        <v>134.53</v>
      </c>
      <c r="J49" t="s">
        <v>36</v>
      </c>
      <c r="K49">
        <v>577</v>
      </c>
      <c r="L49" s="9">
        <f>L35</f>
        <v>12623</v>
      </c>
      <c r="M49" s="13">
        <v>0.02</v>
      </c>
      <c r="N49" s="9">
        <f t="shared" ref="N49:N60" si="0">M49*L49</f>
        <v>252.46</v>
      </c>
      <c r="O49" s="11">
        <f t="shared" ref="O49:O60" si="1">K49/L49</f>
        <v>4.5710211518656424E-2</v>
      </c>
      <c r="P49">
        <v>126.23</v>
      </c>
      <c r="Q49">
        <v>132.82</v>
      </c>
      <c r="R49" t="str">
        <f>IF(OR(I49&gt;Q49,I49&lt;P49), "loss", "win")</f>
        <v>loss</v>
      </c>
      <c r="S49">
        <f t="shared" ref="S49:S60" si="2">K49</f>
        <v>577</v>
      </c>
      <c r="T49" t="str">
        <f t="shared" ref="T49:T60" si="3">IF(V49&lt;0, "loss", "win")</f>
        <v>loss</v>
      </c>
      <c r="U49">
        <f t="shared" ref="U49:U60" si="4">(I49-F49)*100</f>
        <v>748.00000000000045</v>
      </c>
      <c r="V49">
        <f t="shared" ref="V49:V60" si="5">S49-U49</f>
        <v>-171.00000000000045</v>
      </c>
    </row>
    <row r="50" spans="1:28" x14ac:dyDescent="0.25">
      <c r="A50" t="s">
        <v>143</v>
      </c>
      <c r="B50" t="s">
        <v>116</v>
      </c>
      <c r="C50" t="s">
        <v>137</v>
      </c>
      <c r="D50" s="5">
        <v>40575</v>
      </c>
      <c r="E50" s="12">
        <v>0.39583333333333331</v>
      </c>
      <c r="F50">
        <v>130.74</v>
      </c>
      <c r="G50" s="5">
        <v>40620</v>
      </c>
      <c r="H50" s="12">
        <v>0.39583333333333331</v>
      </c>
      <c r="I50" s="6">
        <v>127.76</v>
      </c>
      <c r="J50" t="s">
        <v>36</v>
      </c>
      <c r="K50">
        <v>-187</v>
      </c>
      <c r="L50" s="6">
        <v>12963</v>
      </c>
      <c r="M50" s="13">
        <v>0.02</v>
      </c>
      <c r="N50" s="9">
        <f t="shared" si="0"/>
        <v>259.26</v>
      </c>
      <c r="O50" s="11">
        <f t="shared" si="1"/>
        <v>-1.4425673069505516E-2</v>
      </c>
      <c r="P50">
        <f t="shared" ref="P50:P60" si="6">AA50</f>
        <v>129.63</v>
      </c>
      <c r="Q50">
        <f t="shared" ref="Q50:Q60" si="7">AB50</f>
        <v>135.11000000000001</v>
      </c>
      <c r="R50" t="str">
        <f t="shared" ref="R50:R51" si="8">IF(OR(I50&gt;Q50,I50&lt;P50), "loss", "win")</f>
        <v>loss</v>
      </c>
      <c r="S50">
        <f t="shared" si="2"/>
        <v>-187</v>
      </c>
      <c r="T50" t="str">
        <f t="shared" si="3"/>
        <v>win</v>
      </c>
      <c r="U50">
        <f t="shared" si="4"/>
        <v>-298.0000000000004</v>
      </c>
      <c r="V50">
        <f t="shared" si="5"/>
        <v>111.0000000000004</v>
      </c>
      <c r="X50">
        <v>130.74</v>
      </c>
      <c r="Y50">
        <v>134</v>
      </c>
      <c r="Z50">
        <v>1.1100000000000001</v>
      </c>
      <c r="AA50">
        <f t="shared" ref="AA50:AA60" si="9">X50-Z50</f>
        <v>129.63</v>
      </c>
      <c r="AB50">
        <f t="shared" ref="AB50:AB60" si="10">Y50+Z50</f>
        <v>135.11000000000001</v>
      </c>
    </row>
    <row r="51" spans="1:28" x14ac:dyDescent="0.25">
      <c r="A51" t="s">
        <v>145</v>
      </c>
      <c r="B51" t="s">
        <v>116</v>
      </c>
      <c r="C51" t="s">
        <v>137</v>
      </c>
      <c r="D51" s="5">
        <v>40603</v>
      </c>
      <c r="E51" s="12">
        <v>0.39583333333333331</v>
      </c>
      <c r="F51">
        <v>130.93</v>
      </c>
      <c r="G51" s="5">
        <v>40634</v>
      </c>
      <c r="H51" s="12">
        <v>0.39583333333333331</v>
      </c>
      <c r="I51" s="6">
        <v>133.15</v>
      </c>
      <c r="J51" t="s">
        <v>36</v>
      </c>
      <c r="K51">
        <v>352</v>
      </c>
      <c r="L51" s="6">
        <v>13004</v>
      </c>
      <c r="M51" s="13">
        <v>0.02</v>
      </c>
      <c r="N51" s="9">
        <f t="shared" si="0"/>
        <v>260.08</v>
      </c>
      <c r="O51" s="11">
        <f t="shared" si="1"/>
        <v>2.706859427868348E-2</v>
      </c>
      <c r="P51">
        <f t="shared" si="6"/>
        <v>130.04000000000002</v>
      </c>
      <c r="Q51">
        <f t="shared" si="7"/>
        <v>134.88999999999999</v>
      </c>
      <c r="R51" t="str">
        <f t="shared" si="8"/>
        <v>win</v>
      </c>
      <c r="S51">
        <f t="shared" si="2"/>
        <v>352</v>
      </c>
      <c r="T51" t="str">
        <f t="shared" si="3"/>
        <v>win</v>
      </c>
      <c r="U51">
        <f t="shared" si="4"/>
        <v>221.99999999999989</v>
      </c>
      <c r="V51">
        <f t="shared" si="5"/>
        <v>130.00000000000011</v>
      </c>
      <c r="X51">
        <v>130.93</v>
      </c>
      <c r="Y51">
        <v>134</v>
      </c>
      <c r="Z51">
        <v>0.89</v>
      </c>
      <c r="AA51">
        <f t="shared" si="9"/>
        <v>130.04000000000002</v>
      </c>
      <c r="AB51">
        <f t="shared" si="10"/>
        <v>134.88999999999999</v>
      </c>
    </row>
    <row r="52" spans="1:28" x14ac:dyDescent="0.25">
      <c r="A52" t="s">
        <v>146</v>
      </c>
      <c r="B52" t="s">
        <v>116</v>
      </c>
      <c r="C52" t="s">
        <v>137</v>
      </c>
      <c r="D52" s="5">
        <v>40634</v>
      </c>
      <c r="E52" s="12">
        <v>0.39583333333333331</v>
      </c>
      <c r="F52">
        <v>133.15</v>
      </c>
      <c r="G52" s="5">
        <v>40684</v>
      </c>
      <c r="H52" s="12">
        <v>0.39583333333333331</v>
      </c>
      <c r="I52" s="6">
        <v>133.61000000000001</v>
      </c>
      <c r="J52" t="s">
        <v>36</v>
      </c>
      <c r="K52">
        <v>129.5</v>
      </c>
      <c r="L52" s="6">
        <v>13231.5</v>
      </c>
      <c r="M52" s="13">
        <v>0.02</v>
      </c>
      <c r="N52" s="9">
        <f t="shared" si="0"/>
        <v>264.63</v>
      </c>
      <c r="O52" s="11">
        <f t="shared" si="1"/>
        <v>9.7872501228129846E-3</v>
      </c>
      <c r="P52">
        <f t="shared" si="6"/>
        <v>132.315</v>
      </c>
      <c r="Q52">
        <f t="shared" si="7"/>
        <v>138.83500000000001</v>
      </c>
      <c r="R52" t="str">
        <f t="shared" ref="R52" si="11">IF(OR(I52&gt;Q52,I52&lt;P52), "loss", "win")</f>
        <v>win</v>
      </c>
      <c r="S52">
        <f t="shared" si="2"/>
        <v>129.5</v>
      </c>
      <c r="T52" t="str">
        <f t="shared" si="3"/>
        <v>win</v>
      </c>
      <c r="U52">
        <f t="shared" si="4"/>
        <v>46.000000000000796</v>
      </c>
      <c r="V52">
        <f t="shared" si="5"/>
        <v>83.499999999999204</v>
      </c>
      <c r="X52">
        <v>133.15</v>
      </c>
      <c r="Y52">
        <v>138</v>
      </c>
      <c r="Z52">
        <v>0.83499999999999996</v>
      </c>
      <c r="AA52">
        <f t="shared" si="9"/>
        <v>132.315</v>
      </c>
      <c r="AB52">
        <f t="shared" si="10"/>
        <v>138.83500000000001</v>
      </c>
    </row>
    <row r="53" spans="1:28" x14ac:dyDescent="0.25">
      <c r="A53" t="s">
        <v>147</v>
      </c>
      <c r="B53" t="s">
        <v>116</v>
      </c>
      <c r="C53" t="s">
        <v>137</v>
      </c>
      <c r="D53" s="5">
        <v>40665</v>
      </c>
      <c r="E53" s="12">
        <v>0.39583333333333331</v>
      </c>
      <c r="F53">
        <v>136.22</v>
      </c>
      <c r="G53" s="5">
        <v>40712</v>
      </c>
      <c r="H53" s="12">
        <v>0.39583333333333331</v>
      </c>
      <c r="I53" s="6">
        <v>127.05</v>
      </c>
      <c r="J53" t="s">
        <v>36</v>
      </c>
      <c r="K53">
        <v>-818.5</v>
      </c>
      <c r="L53" s="6">
        <v>13231.5</v>
      </c>
      <c r="M53" s="13">
        <v>0.02</v>
      </c>
      <c r="N53" s="9">
        <f t="shared" si="0"/>
        <v>264.63</v>
      </c>
      <c r="O53" s="11">
        <f t="shared" si="1"/>
        <v>-6.1859955409439595E-2</v>
      </c>
      <c r="P53">
        <f t="shared" si="6"/>
        <v>135.23499999999999</v>
      </c>
      <c r="Q53">
        <f t="shared" si="7"/>
        <v>140.98500000000001</v>
      </c>
      <c r="R53" t="str">
        <f t="shared" ref="R53" si="12">IF(OR(I53&gt;Q53,I53&lt;P53), "loss", "win")</f>
        <v>loss</v>
      </c>
      <c r="S53">
        <f t="shared" si="2"/>
        <v>-818.5</v>
      </c>
      <c r="T53" t="str">
        <f t="shared" si="3"/>
        <v>win</v>
      </c>
      <c r="U53">
        <f t="shared" si="4"/>
        <v>-917.00000000000023</v>
      </c>
      <c r="V53">
        <f t="shared" si="5"/>
        <v>98.500000000000227</v>
      </c>
      <c r="X53">
        <f t="shared" ref="X53:X60" si="13">F53</f>
        <v>136.22</v>
      </c>
      <c r="Y53">
        <v>140</v>
      </c>
      <c r="Z53">
        <v>0.98499999999999999</v>
      </c>
      <c r="AA53">
        <f t="shared" si="9"/>
        <v>135.23499999999999</v>
      </c>
      <c r="AB53">
        <f t="shared" si="10"/>
        <v>140.98500000000001</v>
      </c>
    </row>
    <row r="54" spans="1:28" x14ac:dyDescent="0.25">
      <c r="A54" t="s">
        <v>148</v>
      </c>
      <c r="B54" t="s">
        <v>116</v>
      </c>
      <c r="C54" t="s">
        <v>137</v>
      </c>
      <c r="D54" s="5">
        <v>40695</v>
      </c>
      <c r="E54" s="12">
        <v>0.39583333333333331</v>
      </c>
      <c r="F54">
        <v>131.87</v>
      </c>
      <c r="G54" s="5">
        <v>40725</v>
      </c>
      <c r="H54" s="12">
        <v>0.39583333333333331</v>
      </c>
      <c r="I54" s="6">
        <v>133.91999999999999</v>
      </c>
      <c r="J54" t="s">
        <v>36</v>
      </c>
      <c r="K54">
        <v>278.5</v>
      </c>
      <c r="L54" s="6">
        <v>13113.5</v>
      </c>
      <c r="M54" s="13">
        <v>0.02</v>
      </c>
      <c r="N54" s="9">
        <f t="shared" si="0"/>
        <v>262.27</v>
      </c>
      <c r="O54" s="11">
        <f t="shared" si="1"/>
        <v>2.1237655850840736E-2</v>
      </c>
      <c r="P54">
        <f t="shared" si="6"/>
        <v>131.13499999999999</v>
      </c>
      <c r="Q54">
        <f t="shared" si="7"/>
        <v>135.73500000000001</v>
      </c>
      <c r="R54" t="str">
        <f t="shared" ref="R54" si="14">IF(OR(I54&gt;Q54,I54&lt;P54), "loss", "win")</f>
        <v>win</v>
      </c>
      <c r="S54">
        <f t="shared" si="2"/>
        <v>278.5</v>
      </c>
      <c r="T54" t="str">
        <f t="shared" si="3"/>
        <v>win</v>
      </c>
      <c r="U54">
        <f t="shared" si="4"/>
        <v>204.99999999999829</v>
      </c>
      <c r="V54">
        <f t="shared" si="5"/>
        <v>73.500000000001705</v>
      </c>
      <c r="X54">
        <f t="shared" si="13"/>
        <v>131.87</v>
      </c>
      <c r="Y54">
        <v>135</v>
      </c>
      <c r="Z54">
        <v>0.73499999999999999</v>
      </c>
      <c r="AA54">
        <f t="shared" si="9"/>
        <v>131.13499999999999</v>
      </c>
      <c r="AB54">
        <f t="shared" si="10"/>
        <v>135.73500000000001</v>
      </c>
    </row>
    <row r="55" spans="1:28" x14ac:dyDescent="0.25">
      <c r="A55" t="s">
        <v>149</v>
      </c>
      <c r="B55" t="s">
        <v>116</v>
      </c>
      <c r="C55" t="s">
        <v>137</v>
      </c>
      <c r="D55" s="5">
        <v>40725</v>
      </c>
      <c r="E55" s="12">
        <v>0.39583333333333331</v>
      </c>
      <c r="F55">
        <v>133.91999999999999</v>
      </c>
      <c r="G55" s="5">
        <v>40775</v>
      </c>
      <c r="H55" s="12">
        <v>0.39583333333333331</v>
      </c>
      <c r="I55" s="6">
        <v>112.64</v>
      </c>
      <c r="J55" t="s">
        <v>36</v>
      </c>
      <c r="K55">
        <v>-2030.5</v>
      </c>
      <c r="L55" s="6">
        <v>13294.5</v>
      </c>
      <c r="M55" s="13">
        <v>0.02</v>
      </c>
      <c r="N55" s="9">
        <f t="shared" si="0"/>
        <v>265.89</v>
      </c>
      <c r="O55" s="11">
        <f t="shared" si="1"/>
        <v>-0.15273233291962843</v>
      </c>
      <c r="P55">
        <f t="shared" si="6"/>
        <v>132.94499999999999</v>
      </c>
      <c r="Q55">
        <f t="shared" si="7"/>
        <v>138.97499999999999</v>
      </c>
      <c r="R55" t="str">
        <f t="shared" ref="R55" si="15">IF(OR(I55&gt;Q55,I55&lt;P55), "loss", "win")</f>
        <v>loss</v>
      </c>
      <c r="S55">
        <f t="shared" si="2"/>
        <v>-2030.5</v>
      </c>
      <c r="T55" t="str">
        <f t="shared" si="3"/>
        <v>win</v>
      </c>
      <c r="U55">
        <f t="shared" si="4"/>
        <v>-2127.9999999999986</v>
      </c>
      <c r="V55">
        <f t="shared" si="5"/>
        <v>97.499999999998636</v>
      </c>
      <c r="X55">
        <f t="shared" si="13"/>
        <v>133.91999999999999</v>
      </c>
      <c r="Y55">
        <v>138</v>
      </c>
      <c r="Z55">
        <v>0.97499999999999998</v>
      </c>
      <c r="AA55">
        <f t="shared" si="9"/>
        <v>132.94499999999999</v>
      </c>
      <c r="AB55">
        <f t="shared" si="10"/>
        <v>138.97499999999999</v>
      </c>
    </row>
    <row r="56" spans="1:28" x14ac:dyDescent="0.25">
      <c r="A56" t="s">
        <v>150</v>
      </c>
      <c r="B56" t="s">
        <v>116</v>
      </c>
      <c r="C56" t="s">
        <v>137</v>
      </c>
      <c r="D56" s="5">
        <v>40756</v>
      </c>
      <c r="E56" s="12">
        <v>0.39583333333333331</v>
      </c>
      <c r="F56">
        <v>128.78</v>
      </c>
      <c r="G56" s="5">
        <v>40803</v>
      </c>
      <c r="H56" s="12">
        <v>0.39583333333333331</v>
      </c>
      <c r="I56" s="6">
        <v>121.53</v>
      </c>
      <c r="J56" t="s">
        <v>36</v>
      </c>
      <c r="K56">
        <v>-616</v>
      </c>
      <c r="L56" s="6">
        <v>12769</v>
      </c>
      <c r="M56" s="13">
        <v>0.02</v>
      </c>
      <c r="N56" s="9">
        <f t="shared" si="0"/>
        <v>255.38</v>
      </c>
      <c r="O56" s="11">
        <f t="shared" si="1"/>
        <v>-4.8241835695825831E-2</v>
      </c>
      <c r="P56">
        <f t="shared" si="6"/>
        <v>127.69</v>
      </c>
      <c r="Q56">
        <f t="shared" si="7"/>
        <v>135.09</v>
      </c>
      <c r="R56" t="str">
        <f t="shared" ref="R56" si="16">IF(OR(I56&gt;Q56,I56&lt;P56), "loss", "win")</f>
        <v>loss</v>
      </c>
      <c r="S56">
        <f t="shared" si="2"/>
        <v>-616</v>
      </c>
      <c r="T56" t="str">
        <f t="shared" si="3"/>
        <v>win</v>
      </c>
      <c r="U56">
        <f t="shared" si="4"/>
        <v>-725</v>
      </c>
      <c r="V56">
        <f t="shared" si="5"/>
        <v>109</v>
      </c>
      <c r="X56">
        <f t="shared" si="13"/>
        <v>128.78</v>
      </c>
      <c r="Y56">
        <v>134</v>
      </c>
      <c r="Z56">
        <v>1.0900000000000001</v>
      </c>
      <c r="AA56">
        <f t="shared" si="9"/>
        <v>127.69</v>
      </c>
      <c r="AB56">
        <f t="shared" si="10"/>
        <v>135.09</v>
      </c>
    </row>
    <row r="57" spans="1:28" x14ac:dyDescent="0.25">
      <c r="A57" t="s">
        <v>151</v>
      </c>
      <c r="B57" t="s">
        <v>116</v>
      </c>
      <c r="C57" t="s">
        <v>137</v>
      </c>
      <c r="D57" s="5">
        <v>40787</v>
      </c>
      <c r="E57" s="12">
        <v>0.39583333333333331</v>
      </c>
      <c r="F57">
        <v>120.94</v>
      </c>
      <c r="G57" s="5">
        <v>40803</v>
      </c>
      <c r="H57" s="12">
        <v>0.39583333333333331</v>
      </c>
      <c r="I57" s="6">
        <v>113.15</v>
      </c>
      <c r="J57" t="s">
        <v>36</v>
      </c>
      <c r="K57">
        <v>-658</v>
      </c>
      <c r="L57" s="6">
        <v>11973</v>
      </c>
      <c r="M57" s="13">
        <v>0.02</v>
      </c>
      <c r="N57" s="9">
        <f t="shared" si="0"/>
        <v>239.46</v>
      </c>
      <c r="O57" s="11">
        <f t="shared" si="1"/>
        <v>-5.4956986553077757E-2</v>
      </c>
      <c r="P57">
        <f t="shared" si="6"/>
        <v>119.73</v>
      </c>
      <c r="Q57">
        <f t="shared" si="7"/>
        <v>127.21</v>
      </c>
      <c r="R57" t="str">
        <f t="shared" ref="R57" si="17">IF(OR(I57&gt;Q57,I57&lt;P57), "loss", "win")</f>
        <v>loss</v>
      </c>
      <c r="S57">
        <f t="shared" si="2"/>
        <v>-658</v>
      </c>
      <c r="T57" t="str">
        <f t="shared" si="3"/>
        <v>win</v>
      </c>
      <c r="U57">
        <f t="shared" si="4"/>
        <v>-778.9999999999992</v>
      </c>
      <c r="V57">
        <f t="shared" si="5"/>
        <v>120.9999999999992</v>
      </c>
      <c r="X57">
        <f t="shared" si="13"/>
        <v>120.94</v>
      </c>
      <c r="Y57">
        <v>126</v>
      </c>
      <c r="Z57">
        <v>1.21</v>
      </c>
      <c r="AA57">
        <f t="shared" si="9"/>
        <v>119.73</v>
      </c>
      <c r="AB57">
        <f t="shared" si="10"/>
        <v>127.21</v>
      </c>
    </row>
    <row r="58" spans="1:28" x14ac:dyDescent="0.25">
      <c r="A58" t="s">
        <v>152</v>
      </c>
      <c r="B58" t="s">
        <v>116</v>
      </c>
      <c r="C58" t="s">
        <v>137</v>
      </c>
      <c r="D58" s="5">
        <v>40817</v>
      </c>
      <c r="E58" s="12">
        <v>0.39583333333333331</v>
      </c>
      <c r="F58">
        <v>113.15</v>
      </c>
      <c r="G58" s="5">
        <v>40865</v>
      </c>
      <c r="H58" s="12">
        <v>0.39583333333333331</v>
      </c>
      <c r="I58" s="6">
        <v>121.979</v>
      </c>
      <c r="J58" t="s">
        <v>36</v>
      </c>
      <c r="K58">
        <v>1061.9000000000001</v>
      </c>
      <c r="L58" s="6">
        <v>11136</v>
      </c>
      <c r="M58" s="13">
        <v>0.02</v>
      </c>
      <c r="N58" s="9">
        <f t="shared" si="0"/>
        <v>222.72</v>
      </c>
      <c r="O58" s="11">
        <f t="shared" si="1"/>
        <v>9.535739942528737E-2</v>
      </c>
      <c r="P58">
        <f t="shared" si="6"/>
        <v>111.36</v>
      </c>
      <c r="Q58">
        <f t="shared" si="7"/>
        <v>124.79</v>
      </c>
      <c r="R58" t="str">
        <f t="shared" ref="R58" si="18">IF(OR(I58&gt;Q58,I58&lt;P58), "loss", "win")</f>
        <v>win</v>
      </c>
      <c r="S58">
        <f t="shared" si="2"/>
        <v>1061.9000000000001</v>
      </c>
      <c r="T58" t="str">
        <f t="shared" si="3"/>
        <v>win</v>
      </c>
      <c r="U58">
        <f t="shared" si="4"/>
        <v>882.89999999999941</v>
      </c>
      <c r="V58">
        <f t="shared" si="5"/>
        <v>179.00000000000068</v>
      </c>
      <c r="X58">
        <f t="shared" si="13"/>
        <v>113.15</v>
      </c>
      <c r="Y58">
        <v>123</v>
      </c>
      <c r="Z58">
        <v>1.79</v>
      </c>
      <c r="AA58">
        <f t="shared" si="9"/>
        <v>111.36</v>
      </c>
      <c r="AB58">
        <f t="shared" si="10"/>
        <v>124.79</v>
      </c>
    </row>
    <row r="59" spans="1:28" x14ac:dyDescent="0.25">
      <c r="A59" t="s">
        <v>153</v>
      </c>
      <c r="B59" t="s">
        <v>116</v>
      </c>
      <c r="C59" t="s">
        <v>137</v>
      </c>
      <c r="D59" s="5">
        <v>40848</v>
      </c>
      <c r="E59" s="12">
        <v>0.39583333333333331</v>
      </c>
      <c r="F59">
        <v>121.58</v>
      </c>
      <c r="G59" s="5">
        <v>40893</v>
      </c>
      <c r="H59" s="12">
        <v>0.39583333333333331</v>
      </c>
      <c r="I59" s="6">
        <v>121.59</v>
      </c>
      <c r="J59" t="s">
        <v>36</v>
      </c>
      <c r="K59">
        <v>111.3</v>
      </c>
      <c r="L59" s="6">
        <v>12047.7</v>
      </c>
      <c r="M59" s="13">
        <v>0.02</v>
      </c>
      <c r="N59" s="9">
        <f t="shared" si="0"/>
        <v>240.95400000000001</v>
      </c>
      <c r="O59" s="11">
        <f t="shared" si="1"/>
        <v>9.2382778455638824E-3</v>
      </c>
      <c r="P59">
        <f t="shared" si="6"/>
        <v>120.05499999999999</v>
      </c>
      <c r="Q59">
        <f t="shared" si="7"/>
        <v>131.52500000000001</v>
      </c>
      <c r="R59" t="str">
        <f t="shared" ref="R59" si="19">IF(OR(I59&gt;Q59,I59&lt;P59), "loss", "win")</f>
        <v>win</v>
      </c>
      <c r="S59">
        <f t="shared" si="2"/>
        <v>111.3</v>
      </c>
      <c r="T59" t="str">
        <f t="shared" si="3"/>
        <v>win</v>
      </c>
      <c r="U59">
        <f t="shared" si="4"/>
        <v>1.0000000000005116</v>
      </c>
      <c r="V59">
        <f t="shared" si="5"/>
        <v>110.29999999999949</v>
      </c>
      <c r="X59">
        <f t="shared" si="13"/>
        <v>121.58</v>
      </c>
      <c r="Y59">
        <v>130</v>
      </c>
      <c r="Z59">
        <v>1.5249999999999999</v>
      </c>
      <c r="AA59">
        <f t="shared" si="9"/>
        <v>120.05499999999999</v>
      </c>
      <c r="AB59">
        <f t="shared" si="10"/>
        <v>131.52500000000001</v>
      </c>
    </row>
    <row r="60" spans="1:28" x14ac:dyDescent="0.25">
      <c r="A60" t="s">
        <v>153</v>
      </c>
      <c r="B60" t="s">
        <v>116</v>
      </c>
      <c r="C60" t="s">
        <v>137</v>
      </c>
      <c r="D60" s="5">
        <v>40878</v>
      </c>
      <c r="E60" s="12">
        <v>0.39583333333333331</v>
      </c>
      <c r="F60">
        <v>124.97</v>
      </c>
      <c r="G60" s="5">
        <v>40907</v>
      </c>
      <c r="H60" s="12">
        <v>0.39583333333333331</v>
      </c>
      <c r="I60" s="6">
        <v>125.5</v>
      </c>
      <c r="J60" t="s">
        <v>36</v>
      </c>
      <c r="K60">
        <v>147</v>
      </c>
      <c r="L60" s="6">
        <v>12403</v>
      </c>
      <c r="M60" s="13">
        <v>0.02</v>
      </c>
      <c r="N60" s="9">
        <f t="shared" si="0"/>
        <v>248.06</v>
      </c>
      <c r="O60" s="11">
        <f t="shared" si="1"/>
        <v>1.185197129726679E-2</v>
      </c>
      <c r="P60">
        <f t="shared" si="6"/>
        <v>124.03</v>
      </c>
      <c r="Q60">
        <f t="shared" si="7"/>
        <v>130.94</v>
      </c>
      <c r="R60" t="str">
        <f t="shared" ref="R60" si="20">IF(OR(I60&gt;Q60,I60&lt;P60), "loss", "win")</f>
        <v>win</v>
      </c>
      <c r="S60">
        <f t="shared" si="2"/>
        <v>147</v>
      </c>
      <c r="T60" t="str">
        <f t="shared" si="3"/>
        <v>win</v>
      </c>
      <c r="U60">
        <f t="shared" si="4"/>
        <v>53.000000000000114</v>
      </c>
      <c r="V60">
        <f t="shared" si="5"/>
        <v>93.999999999999886</v>
      </c>
      <c r="X60">
        <f t="shared" si="13"/>
        <v>124.97</v>
      </c>
      <c r="Y60">
        <v>130</v>
      </c>
      <c r="Z60">
        <v>0.94</v>
      </c>
      <c r="AA60">
        <f t="shared" si="9"/>
        <v>124.03</v>
      </c>
      <c r="AB60">
        <f t="shared" si="10"/>
        <v>130.94</v>
      </c>
    </row>
    <row r="61" spans="1:28" x14ac:dyDescent="0.25">
      <c r="O61" s="7"/>
    </row>
    <row r="67" spans="18:23" x14ac:dyDescent="0.25">
      <c r="T67" t="s">
        <v>110</v>
      </c>
      <c r="U67" t="s">
        <v>105</v>
      </c>
      <c r="V67" t="s">
        <v>112</v>
      </c>
    </row>
    <row r="68" spans="18:23" x14ac:dyDescent="0.25">
      <c r="R68" t="s">
        <v>34</v>
      </c>
      <c r="S68" t="s">
        <v>108</v>
      </c>
      <c r="T68" s="10">
        <f>6/12</f>
        <v>0.5</v>
      </c>
      <c r="U68" s="9">
        <f>AVERAGE(S51,S52,S54,S58:S60)</f>
        <v>346.7</v>
      </c>
      <c r="V68" s="9">
        <f>T68*U68</f>
        <v>173.35</v>
      </c>
    </row>
    <row r="69" spans="18:23" x14ac:dyDescent="0.25">
      <c r="S69" t="s">
        <v>106</v>
      </c>
      <c r="T69" s="10">
        <f>6/12</f>
        <v>0.5</v>
      </c>
      <c r="U69" s="9">
        <f>AVERAGE(S49:S50,S53,S55:S57)</f>
        <v>-622.16666666666663</v>
      </c>
      <c r="V69" s="9">
        <f>T69*U69</f>
        <v>-311.08333333333331</v>
      </c>
      <c r="W69" s="9">
        <f>V69+V68</f>
        <v>-137.73333333333332</v>
      </c>
    </row>
    <row r="70" spans="18:23" x14ac:dyDescent="0.25">
      <c r="R70" t="s">
        <v>154</v>
      </c>
      <c r="S70" t="s">
        <v>108</v>
      </c>
      <c r="T70" s="10">
        <f>11/12</f>
        <v>0.91666666666666663</v>
      </c>
      <c r="U70" s="9">
        <f>AVERAGE(V50:V60)</f>
        <v>109.75454545454539</v>
      </c>
      <c r="V70" s="9">
        <f>T70*U70</f>
        <v>100.60833333333328</v>
      </c>
    </row>
    <row r="71" spans="18:23" x14ac:dyDescent="0.25">
      <c r="S71" t="s">
        <v>106</v>
      </c>
      <c r="T71" s="10">
        <f>1/12</f>
        <v>8.3333333333333329E-2</v>
      </c>
      <c r="U71" s="9">
        <f>V49</f>
        <v>-171.00000000000045</v>
      </c>
      <c r="V71" s="9">
        <f>T71*U71</f>
        <v>-14.250000000000037</v>
      </c>
      <c r="W71" s="9">
        <f>V71+V70</f>
        <v>86.358333333333235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BBFD-A290-4810-95BA-23C1997219FF}">
  <dimension ref="A1:S339"/>
  <sheetViews>
    <sheetView topLeftCell="A2" workbookViewId="0">
      <selection activeCell="E10" sqref="E10"/>
    </sheetView>
  </sheetViews>
  <sheetFormatPr defaultRowHeight="15" x14ac:dyDescent="0.25"/>
  <cols>
    <col min="1" max="1" width="13.7109375" bestFit="1" customWidth="1"/>
    <col min="2" max="2" width="14.5703125" bestFit="1" customWidth="1"/>
    <col min="3" max="3" width="12.7109375" bestFit="1" customWidth="1"/>
    <col min="7" max="7" width="10.42578125" customWidth="1"/>
    <col min="9" max="9" width="10.7109375" bestFit="1" customWidth="1"/>
    <col min="12" max="12" width="10.42578125" customWidth="1"/>
    <col min="17" max="17" width="10" customWidth="1"/>
    <col min="18" max="18" width="10.140625" customWidth="1"/>
  </cols>
  <sheetData>
    <row r="1" spans="1:6" ht="15.75" thickBot="1" x14ac:dyDescent="0.3">
      <c r="A1" s="1">
        <v>3</v>
      </c>
      <c r="B1" s="4" t="s">
        <v>1</v>
      </c>
      <c r="C1" s="4" t="s">
        <v>2</v>
      </c>
    </row>
    <row r="2" spans="1:6" ht="236.25" x14ac:dyDescent="0.25">
      <c r="F2" s="15" t="s">
        <v>156</v>
      </c>
    </row>
    <row r="4" spans="1:6" x14ac:dyDescent="0.25">
      <c r="B4" s="3" t="s">
        <v>39</v>
      </c>
      <c r="F4" t="s">
        <v>155</v>
      </c>
    </row>
    <row r="6" spans="1:6" x14ac:dyDescent="0.25">
      <c r="B6" s="3"/>
    </row>
    <row r="7" spans="1:6" x14ac:dyDescent="0.25">
      <c r="B7" s="3"/>
    </row>
    <row r="8" spans="1:6" x14ac:dyDescent="0.25">
      <c r="B8" s="3" t="s">
        <v>40</v>
      </c>
    </row>
    <row r="9" spans="1:6" x14ac:dyDescent="0.25">
      <c r="B9" s="3" t="s">
        <v>15</v>
      </c>
      <c r="E9" t="s">
        <v>193</v>
      </c>
    </row>
    <row r="10" spans="1:6" x14ac:dyDescent="0.25">
      <c r="B10" s="3"/>
    </row>
    <row r="15" spans="1:6" x14ac:dyDescent="0.25">
      <c r="B15" t="s">
        <v>157</v>
      </c>
    </row>
    <row r="16" spans="1:6" x14ac:dyDescent="0.25">
      <c r="B16" t="s">
        <v>3</v>
      </c>
      <c r="C16" t="s">
        <v>15</v>
      </c>
    </row>
    <row r="17" spans="2:3" x14ac:dyDescent="0.25">
      <c r="B17" t="s">
        <v>2</v>
      </c>
      <c r="C17" t="s">
        <v>171</v>
      </c>
    </row>
    <row r="18" spans="2:3" x14ac:dyDescent="0.25">
      <c r="B18" t="s">
        <v>5</v>
      </c>
      <c r="C18" t="s">
        <v>16</v>
      </c>
    </row>
    <row r="19" spans="2:3" x14ac:dyDescent="0.25">
      <c r="B19" t="s">
        <v>4</v>
      </c>
      <c r="C19" t="s">
        <v>133</v>
      </c>
    </row>
    <row r="21" spans="2:3" x14ac:dyDescent="0.25">
      <c r="B21" t="s">
        <v>158</v>
      </c>
    </row>
    <row r="22" spans="2:3" x14ac:dyDescent="0.25">
      <c r="B22" s="5">
        <v>40933</v>
      </c>
    </row>
    <row r="23" spans="2:3" x14ac:dyDescent="0.25">
      <c r="B23" s="5">
        <v>40981</v>
      </c>
    </row>
    <row r="24" spans="2:3" x14ac:dyDescent="0.25">
      <c r="B24" s="5">
        <v>41024</v>
      </c>
    </row>
    <row r="25" spans="2:3" x14ac:dyDescent="0.25">
      <c r="B25" s="5">
        <v>41080</v>
      </c>
    </row>
    <row r="26" spans="2:3" x14ac:dyDescent="0.25">
      <c r="B26" s="5">
        <v>41121</v>
      </c>
    </row>
    <row r="27" spans="2:3" x14ac:dyDescent="0.25">
      <c r="B27" s="5">
        <v>41165</v>
      </c>
    </row>
    <row r="28" spans="2:3" x14ac:dyDescent="0.25">
      <c r="B28" s="5">
        <v>41206</v>
      </c>
    </row>
    <row r="29" spans="2:3" x14ac:dyDescent="0.25">
      <c r="B29" s="5">
        <v>41255</v>
      </c>
    </row>
    <row r="32" spans="2:3" x14ac:dyDescent="0.25">
      <c r="B32" t="s">
        <v>159</v>
      </c>
    </row>
    <row r="33" spans="1:19" x14ac:dyDescent="0.25">
      <c r="B33" s="5">
        <v>40893</v>
      </c>
    </row>
    <row r="34" spans="1:19" x14ac:dyDescent="0.25">
      <c r="B34" s="5">
        <v>40984</v>
      </c>
    </row>
    <row r="35" spans="1:19" x14ac:dyDescent="0.25">
      <c r="B35" s="5">
        <v>41075</v>
      </c>
    </row>
    <row r="36" spans="1:19" x14ac:dyDescent="0.25">
      <c r="B36" s="5">
        <v>41173</v>
      </c>
    </row>
    <row r="37" spans="1:19" x14ac:dyDescent="0.25">
      <c r="B37" s="5">
        <v>41264</v>
      </c>
    </row>
    <row r="39" spans="1:19" x14ac:dyDescent="0.25">
      <c r="B39" t="s">
        <v>26</v>
      </c>
      <c r="C39" t="s">
        <v>31</v>
      </c>
    </row>
    <row r="40" spans="1:19" x14ac:dyDescent="0.25">
      <c r="B40" s="5">
        <v>40897</v>
      </c>
      <c r="C40" s="5">
        <v>40929</v>
      </c>
    </row>
    <row r="43" spans="1:19" x14ac:dyDescent="0.25">
      <c r="A43" t="s">
        <v>140</v>
      </c>
    </row>
    <row r="44" spans="1:19" x14ac:dyDescent="0.25">
      <c r="A44" t="s">
        <v>124</v>
      </c>
      <c r="D44" t="s">
        <v>37</v>
      </c>
      <c r="G44" t="s">
        <v>37</v>
      </c>
      <c r="I44" t="s">
        <v>38</v>
      </c>
    </row>
    <row r="45" spans="1:19" x14ac:dyDescent="0.25">
      <c r="A45" t="s">
        <v>25</v>
      </c>
      <c r="B45" t="s">
        <v>121</v>
      </c>
      <c r="C45" t="s">
        <v>120</v>
      </c>
      <c r="D45" t="s">
        <v>125</v>
      </c>
      <c r="E45" t="s">
        <v>4</v>
      </c>
      <c r="F45" t="s">
        <v>144</v>
      </c>
      <c r="G45" t="s">
        <v>26</v>
      </c>
      <c r="H45" t="s">
        <v>126</v>
      </c>
      <c r="I45" t="s">
        <v>88</v>
      </c>
      <c r="J45" t="s">
        <v>126</v>
      </c>
      <c r="K45" t="s">
        <v>141</v>
      </c>
      <c r="L45" t="s">
        <v>125</v>
      </c>
      <c r="M45" t="s">
        <v>142</v>
      </c>
      <c r="N45" t="s">
        <v>104</v>
      </c>
      <c r="O45" t="s">
        <v>65</v>
      </c>
      <c r="P45" t="s">
        <v>122</v>
      </c>
      <c r="Q45" t="s">
        <v>169</v>
      </c>
      <c r="R45" t="s">
        <v>170</v>
      </c>
      <c r="S45" t="s">
        <v>127</v>
      </c>
    </row>
    <row r="46" spans="1:19" x14ac:dyDescent="0.25">
      <c r="A46" t="s">
        <v>160</v>
      </c>
      <c r="B46" t="s">
        <v>116</v>
      </c>
      <c r="C46" t="s">
        <v>137</v>
      </c>
      <c r="D46" s="16">
        <v>123.93</v>
      </c>
      <c r="E46" s="16">
        <v>129</v>
      </c>
      <c r="F46" s="16">
        <v>0.92</v>
      </c>
      <c r="G46" s="17">
        <v>40897</v>
      </c>
      <c r="H46" s="12">
        <v>0.39583333333333331</v>
      </c>
      <c r="I46" s="17">
        <v>40929</v>
      </c>
      <c r="J46" s="12">
        <v>0.39583333333333331</v>
      </c>
      <c r="K46">
        <f>D46-F46</f>
        <v>123.01</v>
      </c>
      <c r="L46" s="18">
        <v>131.54</v>
      </c>
      <c r="M46">
        <f>E46+F46</f>
        <v>129.91999999999999</v>
      </c>
      <c r="N46" t="str">
        <f>IF(OR(L46&gt;M46,L46&lt;K46), "loss", "win")</f>
        <v>loss</v>
      </c>
      <c r="O46" s="16">
        <v>599</v>
      </c>
      <c r="P46" t="str">
        <f>IF(R46&lt;0, "loss", "win")</f>
        <v>loss</v>
      </c>
      <c r="Q46" s="9">
        <f>(L46-D46)*100</f>
        <v>760.99999999999852</v>
      </c>
      <c r="R46" s="9">
        <f>O46-Q46</f>
        <v>-161.99999999999852</v>
      </c>
      <c r="S46" t="s">
        <v>36</v>
      </c>
    </row>
    <row r="47" spans="1:19" x14ac:dyDescent="0.25">
      <c r="A47" t="s">
        <v>161</v>
      </c>
      <c r="B47" t="s">
        <v>116</v>
      </c>
      <c r="C47" t="s">
        <v>137</v>
      </c>
      <c r="D47" s="16">
        <v>131.54</v>
      </c>
      <c r="E47" s="16">
        <v>135</v>
      </c>
      <c r="F47" s="16">
        <v>0.66500000000000004</v>
      </c>
      <c r="G47" s="17">
        <v>40564</v>
      </c>
      <c r="H47" s="12">
        <v>0.39583333333333331</v>
      </c>
      <c r="I47" s="17">
        <v>40957</v>
      </c>
      <c r="J47" s="12">
        <v>0.39583333333333331</v>
      </c>
      <c r="K47">
        <f t="shared" ref="K47:K54" si="0">D47-F47</f>
        <v>130.875</v>
      </c>
      <c r="L47" s="18">
        <v>136.41</v>
      </c>
      <c r="M47">
        <f t="shared" ref="M47:M54" si="1">E47+F47</f>
        <v>135.66499999999999</v>
      </c>
      <c r="N47" t="str">
        <f t="shared" ref="N47:N54" si="2">IF(OR(L47&gt;M47,L47&lt;K47), "loss", "win")</f>
        <v>loss</v>
      </c>
      <c r="O47" s="16">
        <v>412.5</v>
      </c>
      <c r="P47" t="str">
        <f t="shared" ref="P47:P54" si="3">IF(R47&lt;0, "loss", "win")</f>
        <v>loss</v>
      </c>
      <c r="Q47" s="9">
        <f t="shared" ref="Q47:Q54" si="4">(L47-D47)*100</f>
        <v>487.00000000000045</v>
      </c>
      <c r="R47" s="9">
        <f t="shared" ref="R47:R54" si="5">O47-Q47</f>
        <v>-74.500000000000455</v>
      </c>
      <c r="S47" t="s">
        <v>36</v>
      </c>
    </row>
    <row r="48" spans="1:19" x14ac:dyDescent="0.25">
      <c r="A48" t="s">
        <v>162</v>
      </c>
      <c r="B48" t="s">
        <v>116</v>
      </c>
      <c r="C48" t="s">
        <v>137</v>
      </c>
      <c r="D48" s="16">
        <v>136.41</v>
      </c>
      <c r="E48" s="16">
        <v>140</v>
      </c>
      <c r="F48" s="16">
        <v>0.61</v>
      </c>
      <c r="G48" s="17">
        <v>40957</v>
      </c>
      <c r="H48" s="12">
        <v>0.39583333333333331</v>
      </c>
      <c r="I48" s="17">
        <v>40980</v>
      </c>
      <c r="J48" s="12">
        <v>0.39583333333333331</v>
      </c>
      <c r="K48">
        <f t="shared" si="0"/>
        <v>135.79999999999998</v>
      </c>
      <c r="L48" s="18">
        <v>137.58000000000001</v>
      </c>
      <c r="M48">
        <f t="shared" si="1"/>
        <v>140.61000000000001</v>
      </c>
      <c r="N48" t="str">
        <f t="shared" si="2"/>
        <v>win</v>
      </c>
      <c r="O48" s="16">
        <v>171</v>
      </c>
      <c r="P48" t="str">
        <f t="shared" si="3"/>
        <v>win</v>
      </c>
      <c r="Q48" s="9">
        <f t="shared" si="4"/>
        <v>117.00000000000159</v>
      </c>
      <c r="R48" s="9">
        <f t="shared" si="5"/>
        <v>53.999999999998408</v>
      </c>
      <c r="S48" t="s">
        <v>36</v>
      </c>
    </row>
    <row r="49" spans="1:19" x14ac:dyDescent="0.25">
      <c r="A49" t="s">
        <v>163</v>
      </c>
      <c r="B49" t="s">
        <v>116</v>
      </c>
      <c r="C49" t="s">
        <v>137</v>
      </c>
      <c r="D49" s="16">
        <v>140.85</v>
      </c>
      <c r="E49" s="16">
        <v>144</v>
      </c>
      <c r="F49" s="16">
        <v>0.92</v>
      </c>
      <c r="G49" s="17">
        <v>40987</v>
      </c>
      <c r="H49" s="12">
        <v>0.39583333333333331</v>
      </c>
      <c r="I49" s="17">
        <v>41020</v>
      </c>
      <c r="J49" s="12">
        <v>0.39583333333333331</v>
      </c>
      <c r="K49">
        <f t="shared" si="0"/>
        <v>139.93</v>
      </c>
      <c r="L49" s="18">
        <v>137.94999999999999</v>
      </c>
      <c r="M49">
        <f t="shared" si="1"/>
        <v>144.91999999999999</v>
      </c>
      <c r="N49" t="str">
        <f t="shared" si="2"/>
        <v>loss</v>
      </c>
      <c r="O49" s="16">
        <v>-214.5</v>
      </c>
      <c r="P49" t="str">
        <f t="shared" si="3"/>
        <v>win</v>
      </c>
      <c r="Q49" s="9">
        <f t="shared" si="4"/>
        <v>-290.00000000000057</v>
      </c>
      <c r="R49" s="9">
        <f t="shared" si="5"/>
        <v>75.500000000000568</v>
      </c>
      <c r="S49" t="s">
        <v>36</v>
      </c>
    </row>
    <row r="50" spans="1:19" x14ac:dyDescent="0.25">
      <c r="A50" t="s">
        <v>164</v>
      </c>
      <c r="B50" t="s">
        <v>116</v>
      </c>
      <c r="C50" t="s">
        <v>137</v>
      </c>
      <c r="D50" s="16">
        <v>140.74</v>
      </c>
      <c r="E50" s="16">
        <v>145</v>
      </c>
      <c r="F50" s="16">
        <v>0.88500000000000001</v>
      </c>
      <c r="G50" s="17">
        <v>41030</v>
      </c>
      <c r="H50" s="12">
        <v>0.39583333333333331</v>
      </c>
      <c r="I50" s="17">
        <v>41075</v>
      </c>
      <c r="J50" s="12">
        <v>0.39583333333333331</v>
      </c>
      <c r="K50">
        <f t="shared" si="0"/>
        <v>139.85500000000002</v>
      </c>
      <c r="L50" s="18">
        <v>134.13999999999999</v>
      </c>
      <c r="M50">
        <f t="shared" si="1"/>
        <v>145.88499999999999</v>
      </c>
      <c r="N50" t="str">
        <f t="shared" si="2"/>
        <v>loss</v>
      </c>
      <c r="O50" s="16">
        <v>-572</v>
      </c>
      <c r="P50" t="str">
        <f t="shared" si="3"/>
        <v>win</v>
      </c>
      <c r="Q50" s="9">
        <f t="shared" si="4"/>
        <v>-660.00000000000227</v>
      </c>
      <c r="R50" s="9">
        <f t="shared" si="5"/>
        <v>88.000000000002274</v>
      </c>
      <c r="S50" t="s">
        <v>36</v>
      </c>
    </row>
    <row r="51" spans="1:19" x14ac:dyDescent="0.25">
      <c r="A51" t="s">
        <v>165</v>
      </c>
      <c r="B51" t="s">
        <v>116</v>
      </c>
      <c r="C51" t="s">
        <v>137</v>
      </c>
      <c r="D51" s="16">
        <v>132.44</v>
      </c>
      <c r="E51" s="16">
        <v>137</v>
      </c>
      <c r="F51" s="16">
        <v>0.69499999999999995</v>
      </c>
      <c r="G51" s="17">
        <v>41081</v>
      </c>
      <c r="H51" s="12">
        <v>0.39583333333333331</v>
      </c>
      <c r="I51" s="17">
        <v>41111</v>
      </c>
      <c r="J51" s="12">
        <v>0.39583333333333331</v>
      </c>
      <c r="K51">
        <f t="shared" si="0"/>
        <v>131.745</v>
      </c>
      <c r="L51" s="18">
        <v>136.47</v>
      </c>
      <c r="M51">
        <f t="shared" si="1"/>
        <v>137.69499999999999</v>
      </c>
      <c r="N51" t="str">
        <f t="shared" si="2"/>
        <v>win</v>
      </c>
      <c r="O51" s="16">
        <v>472.5</v>
      </c>
      <c r="P51" t="str">
        <f t="shared" si="3"/>
        <v>win</v>
      </c>
      <c r="Q51" s="9">
        <f t="shared" si="4"/>
        <v>403.00000000000011</v>
      </c>
      <c r="R51" s="9">
        <f t="shared" si="5"/>
        <v>69.499999999999886</v>
      </c>
      <c r="S51" t="s">
        <v>36</v>
      </c>
    </row>
    <row r="52" spans="1:19" x14ac:dyDescent="0.25">
      <c r="A52" t="s">
        <v>166</v>
      </c>
      <c r="B52" t="s">
        <v>116</v>
      </c>
      <c r="C52" t="s">
        <v>137</v>
      </c>
      <c r="D52" s="16">
        <v>140.32</v>
      </c>
      <c r="E52" s="16">
        <v>145</v>
      </c>
      <c r="F52" s="16">
        <v>0.84</v>
      </c>
      <c r="G52" s="17">
        <v>41128</v>
      </c>
      <c r="H52" s="12">
        <v>0.39583333333333331</v>
      </c>
      <c r="I52" s="17">
        <v>41164</v>
      </c>
      <c r="J52" s="12">
        <v>0.39583333333333331</v>
      </c>
      <c r="K52">
        <f t="shared" si="0"/>
        <v>139.47999999999999</v>
      </c>
      <c r="L52" s="18">
        <v>144.38999999999999</v>
      </c>
      <c r="M52">
        <f t="shared" si="1"/>
        <v>145.84</v>
      </c>
      <c r="N52" t="str">
        <f t="shared" si="2"/>
        <v>win</v>
      </c>
      <c r="O52" s="16">
        <v>397</v>
      </c>
      <c r="P52" t="str">
        <f t="shared" si="3"/>
        <v>loss</v>
      </c>
      <c r="Q52" s="9">
        <f t="shared" si="4"/>
        <v>406.99999999999932</v>
      </c>
      <c r="R52" s="9">
        <f t="shared" si="5"/>
        <v>-9.9999999999993179</v>
      </c>
      <c r="S52" t="s">
        <v>36</v>
      </c>
    </row>
    <row r="53" spans="1:19" x14ac:dyDescent="0.25">
      <c r="A53" t="s">
        <v>167</v>
      </c>
      <c r="B53" t="s">
        <v>116</v>
      </c>
      <c r="C53" t="s">
        <v>137</v>
      </c>
      <c r="D53" s="16">
        <v>145.64500000000001</v>
      </c>
      <c r="E53" s="16">
        <v>149</v>
      </c>
      <c r="F53" s="16">
        <v>0.435</v>
      </c>
      <c r="G53" s="17">
        <v>41176</v>
      </c>
      <c r="H53" s="12">
        <v>0.39583333333333331</v>
      </c>
      <c r="I53" s="17">
        <v>41202</v>
      </c>
      <c r="J53" s="12">
        <v>0.39583333333333331</v>
      </c>
      <c r="K53">
        <f t="shared" si="0"/>
        <v>145.21</v>
      </c>
      <c r="L53" s="18">
        <v>145.82</v>
      </c>
      <c r="M53">
        <f t="shared" si="1"/>
        <v>149.435</v>
      </c>
      <c r="N53" t="str">
        <f t="shared" si="2"/>
        <v>win</v>
      </c>
      <c r="O53" s="16">
        <v>61</v>
      </c>
      <c r="P53" t="str">
        <f t="shared" si="3"/>
        <v>win</v>
      </c>
      <c r="Q53" s="9">
        <f t="shared" si="4"/>
        <v>17.499999999998295</v>
      </c>
      <c r="R53" s="9">
        <f t="shared" si="5"/>
        <v>43.500000000001705</v>
      </c>
      <c r="S53" t="s">
        <v>36</v>
      </c>
    </row>
    <row r="54" spans="1:19" x14ac:dyDescent="0.25">
      <c r="A54" t="s">
        <v>168</v>
      </c>
      <c r="B54" t="s">
        <v>116</v>
      </c>
      <c r="C54" t="s">
        <v>137</v>
      </c>
      <c r="D54" s="16">
        <v>142.96</v>
      </c>
      <c r="E54" s="16">
        <v>148</v>
      </c>
      <c r="F54" s="16">
        <v>0.9</v>
      </c>
      <c r="G54" s="17">
        <v>41219</v>
      </c>
      <c r="H54" s="12">
        <v>0.39583333333333331</v>
      </c>
      <c r="I54" s="17">
        <v>41255</v>
      </c>
      <c r="J54" s="12">
        <v>0.39583333333333331</v>
      </c>
      <c r="K54">
        <f t="shared" si="0"/>
        <v>142.06</v>
      </c>
      <c r="L54" s="18">
        <v>143.51</v>
      </c>
      <c r="M54">
        <f t="shared" si="1"/>
        <v>148.9</v>
      </c>
      <c r="N54" t="str">
        <f t="shared" si="2"/>
        <v>win</v>
      </c>
      <c r="O54" s="16">
        <v>138</v>
      </c>
      <c r="P54" t="str">
        <f t="shared" si="3"/>
        <v>win</v>
      </c>
      <c r="Q54" s="9">
        <f t="shared" si="4"/>
        <v>54.999999999998295</v>
      </c>
      <c r="R54" s="9">
        <f t="shared" si="5"/>
        <v>83.000000000001705</v>
      </c>
      <c r="S54" t="s">
        <v>36</v>
      </c>
    </row>
    <row r="69" spans="1:3" x14ac:dyDescent="0.25">
      <c r="B69" t="s">
        <v>172</v>
      </c>
      <c r="C69" t="s">
        <v>173</v>
      </c>
    </row>
    <row r="70" spans="1:3" x14ac:dyDescent="0.25">
      <c r="A70" s="5">
        <v>40878</v>
      </c>
      <c r="B70" s="6">
        <v>101.363945</v>
      </c>
      <c r="C70" s="6">
        <v>27.41</v>
      </c>
    </row>
    <row r="71" spans="1:3" x14ac:dyDescent="0.25">
      <c r="A71" s="5">
        <v>40879</v>
      </c>
      <c r="B71" s="6">
        <v>101.27469600000001</v>
      </c>
      <c r="C71" s="6">
        <v>27.52</v>
      </c>
    </row>
    <row r="72" spans="1:3" x14ac:dyDescent="0.25">
      <c r="A72" s="5">
        <v>40882</v>
      </c>
      <c r="B72" s="6">
        <v>102.377815</v>
      </c>
      <c r="C72" s="6">
        <v>27.84</v>
      </c>
    </row>
    <row r="73" spans="1:3" x14ac:dyDescent="0.25">
      <c r="A73" s="5">
        <v>40883</v>
      </c>
      <c r="B73" s="6">
        <v>102.410263</v>
      </c>
      <c r="C73" s="6">
        <v>28.129999000000002</v>
      </c>
    </row>
    <row r="74" spans="1:3" x14ac:dyDescent="0.25">
      <c r="A74" s="5">
        <v>40884</v>
      </c>
      <c r="B74" s="6">
        <v>102.79145800000001</v>
      </c>
      <c r="C74" s="6">
        <v>28.67</v>
      </c>
    </row>
    <row r="75" spans="1:3" x14ac:dyDescent="0.25">
      <c r="A75" s="5">
        <v>40885</v>
      </c>
      <c r="B75" s="6">
        <v>100.53658299999999</v>
      </c>
      <c r="C75" s="6">
        <v>30.59</v>
      </c>
    </row>
    <row r="76" spans="1:3" x14ac:dyDescent="0.25">
      <c r="A76" s="5">
        <v>40886</v>
      </c>
      <c r="B76" s="6">
        <v>102.23992200000001</v>
      </c>
      <c r="C76" s="6">
        <v>26.379999000000002</v>
      </c>
    </row>
    <row r="77" spans="1:3" x14ac:dyDescent="0.25">
      <c r="A77" s="5">
        <v>40889</v>
      </c>
      <c r="B77" s="6">
        <v>100.74747499999999</v>
      </c>
      <c r="C77" s="6">
        <v>25.67</v>
      </c>
    </row>
    <row r="78" spans="1:3" x14ac:dyDescent="0.25">
      <c r="A78" s="5">
        <v>40890</v>
      </c>
      <c r="B78" s="6">
        <v>99.806610000000006</v>
      </c>
      <c r="C78" s="6">
        <v>25.41</v>
      </c>
    </row>
    <row r="79" spans="1:3" x14ac:dyDescent="0.25">
      <c r="A79" s="5">
        <v>40891</v>
      </c>
      <c r="B79" s="6">
        <v>98.744049000000004</v>
      </c>
      <c r="C79" s="6">
        <v>26.040001</v>
      </c>
    </row>
    <row r="80" spans="1:3" x14ac:dyDescent="0.25">
      <c r="A80" s="5">
        <v>40892</v>
      </c>
      <c r="B80" s="6">
        <v>99.100928999999994</v>
      </c>
      <c r="C80" s="6">
        <v>25.110001</v>
      </c>
    </row>
    <row r="81" spans="1:3" x14ac:dyDescent="0.25">
      <c r="A81" s="5">
        <v>40893</v>
      </c>
      <c r="B81" s="6">
        <v>99.247864000000007</v>
      </c>
      <c r="C81" s="6">
        <v>24.290001</v>
      </c>
    </row>
    <row r="82" spans="1:3" x14ac:dyDescent="0.25">
      <c r="A82" s="5">
        <v>40896</v>
      </c>
      <c r="B82" s="6">
        <v>98.186729</v>
      </c>
      <c r="C82" s="6">
        <v>24.92</v>
      </c>
    </row>
    <row r="83" spans="1:3" x14ac:dyDescent="0.25">
      <c r="A83" s="5">
        <v>40897</v>
      </c>
      <c r="B83" s="6">
        <v>101.157883</v>
      </c>
      <c r="C83" s="6">
        <v>23.219999000000001</v>
      </c>
    </row>
    <row r="84" spans="1:3" x14ac:dyDescent="0.25">
      <c r="A84" s="5">
        <v>40898</v>
      </c>
      <c r="B84" s="6">
        <v>101.35378300000001</v>
      </c>
      <c r="C84" s="6">
        <v>21.43</v>
      </c>
    </row>
    <row r="85" spans="1:3" x14ac:dyDescent="0.25">
      <c r="A85" s="5">
        <v>40899</v>
      </c>
      <c r="B85" s="6">
        <v>102.251678</v>
      </c>
      <c r="C85" s="6">
        <v>21.16</v>
      </c>
    </row>
    <row r="86" spans="1:3" x14ac:dyDescent="0.25">
      <c r="A86" s="5">
        <v>40900</v>
      </c>
      <c r="B86" s="6">
        <v>103.165871</v>
      </c>
      <c r="C86" s="6">
        <v>20.73</v>
      </c>
    </row>
    <row r="87" spans="1:3" x14ac:dyDescent="0.25">
      <c r="A87" s="5">
        <v>40904</v>
      </c>
      <c r="B87" s="6">
        <v>103.24747499999999</v>
      </c>
      <c r="C87" s="6">
        <v>21.91</v>
      </c>
    </row>
    <row r="88" spans="1:3" x14ac:dyDescent="0.25">
      <c r="A88" s="5">
        <v>40905</v>
      </c>
      <c r="B88" s="6">
        <v>101.892509</v>
      </c>
      <c r="C88" s="6">
        <v>23.52</v>
      </c>
    </row>
    <row r="89" spans="1:3" x14ac:dyDescent="0.25">
      <c r="A89" s="5">
        <v>40906</v>
      </c>
      <c r="B89" s="6">
        <v>102.94548</v>
      </c>
      <c r="C89" s="6">
        <v>22.65</v>
      </c>
    </row>
    <row r="90" spans="1:3" x14ac:dyDescent="0.25">
      <c r="A90" s="5">
        <v>40907</v>
      </c>
      <c r="B90" s="6">
        <v>102.439392</v>
      </c>
      <c r="C90" s="6">
        <v>23.4</v>
      </c>
    </row>
    <row r="91" spans="1:3" x14ac:dyDescent="0.25">
      <c r="A91" s="5">
        <v>40911</v>
      </c>
      <c r="B91" s="6">
        <v>104.071884</v>
      </c>
      <c r="C91" s="6">
        <v>22.969999000000001</v>
      </c>
    </row>
    <row r="92" spans="1:3" x14ac:dyDescent="0.25">
      <c r="A92" s="5">
        <v>40912</v>
      </c>
      <c r="B92" s="6">
        <v>104.235153</v>
      </c>
      <c r="C92" s="6">
        <v>22.219999000000001</v>
      </c>
    </row>
    <row r="93" spans="1:3" x14ac:dyDescent="0.25">
      <c r="A93" s="5">
        <v>40913</v>
      </c>
      <c r="B93" s="6">
        <v>104.51267199999999</v>
      </c>
      <c r="C93" s="6">
        <v>21.48</v>
      </c>
    </row>
    <row r="94" spans="1:3" x14ac:dyDescent="0.25">
      <c r="A94" s="5">
        <v>40914</v>
      </c>
      <c r="B94" s="6">
        <v>104.243324</v>
      </c>
      <c r="C94" s="6">
        <v>20.629999000000002</v>
      </c>
    </row>
    <row r="95" spans="1:3" x14ac:dyDescent="0.25">
      <c r="A95" s="5">
        <v>40917</v>
      </c>
      <c r="B95" s="6">
        <v>104.496353</v>
      </c>
      <c r="C95" s="6">
        <v>21.07</v>
      </c>
    </row>
    <row r="96" spans="1:3" x14ac:dyDescent="0.25">
      <c r="A96" s="5">
        <v>40918</v>
      </c>
      <c r="B96" s="6">
        <v>105.40242000000001</v>
      </c>
      <c r="C96" s="6">
        <v>20.690000999999999</v>
      </c>
    </row>
    <row r="97" spans="1:3" x14ac:dyDescent="0.25">
      <c r="A97" s="5">
        <v>40919</v>
      </c>
      <c r="B97" s="6">
        <v>105.459526</v>
      </c>
      <c r="C97" s="6">
        <v>21.049999</v>
      </c>
    </row>
    <row r="98" spans="1:3" x14ac:dyDescent="0.25">
      <c r="A98" s="5">
        <v>40920</v>
      </c>
      <c r="B98" s="6">
        <v>105.71257</v>
      </c>
      <c r="C98" s="6">
        <v>20.469999000000001</v>
      </c>
    </row>
    <row r="99" spans="1:3" x14ac:dyDescent="0.25">
      <c r="A99" s="5">
        <v>40921</v>
      </c>
      <c r="B99" s="6">
        <v>105.165688</v>
      </c>
      <c r="C99" s="6">
        <v>20.91</v>
      </c>
    </row>
    <row r="100" spans="1:3" x14ac:dyDescent="0.25">
      <c r="A100" s="5">
        <v>40925</v>
      </c>
      <c r="B100" s="6">
        <v>105.573784</v>
      </c>
      <c r="C100" s="6">
        <v>22.200001</v>
      </c>
    </row>
    <row r="101" spans="1:3" x14ac:dyDescent="0.25">
      <c r="A101" s="5">
        <v>40926</v>
      </c>
      <c r="B101" s="6">
        <v>106.74102000000001</v>
      </c>
      <c r="C101" s="6">
        <v>20.889999</v>
      </c>
    </row>
    <row r="102" spans="1:3" x14ac:dyDescent="0.25">
      <c r="A102" s="5">
        <v>40927</v>
      </c>
      <c r="B102" s="6">
        <v>107.30424499999999</v>
      </c>
      <c r="C102" s="6">
        <v>19.870000999999998</v>
      </c>
    </row>
    <row r="103" spans="1:3" x14ac:dyDescent="0.25">
      <c r="A103" s="5">
        <v>40928</v>
      </c>
      <c r="B103" s="6">
        <v>107.704224</v>
      </c>
      <c r="C103" s="6">
        <v>18.280000999999999</v>
      </c>
    </row>
    <row r="104" spans="1:3" x14ac:dyDescent="0.25">
      <c r="A104" s="5">
        <v>40931</v>
      </c>
      <c r="B104" s="6">
        <v>107.426704</v>
      </c>
      <c r="C104" s="6">
        <v>18.670000000000002</v>
      </c>
    </row>
    <row r="105" spans="1:3" x14ac:dyDescent="0.25">
      <c r="A105" s="5">
        <v>40932</v>
      </c>
      <c r="B105" s="6">
        <v>107.30424499999999</v>
      </c>
      <c r="C105" s="6">
        <v>18.91</v>
      </c>
    </row>
    <row r="106" spans="1:3" x14ac:dyDescent="0.25">
      <c r="A106" s="19">
        <v>40933</v>
      </c>
      <c r="B106" s="20">
        <v>108.202141</v>
      </c>
      <c r="C106" s="20">
        <v>18.309999000000001</v>
      </c>
    </row>
    <row r="107" spans="1:3" x14ac:dyDescent="0.25">
      <c r="A107" s="5">
        <v>40934</v>
      </c>
      <c r="B107" s="6">
        <v>107.647087</v>
      </c>
      <c r="C107" s="6">
        <v>18.57</v>
      </c>
    </row>
    <row r="108" spans="1:3" x14ac:dyDescent="0.25">
      <c r="A108" s="5">
        <v>40935</v>
      </c>
      <c r="B108" s="6">
        <v>107.598129</v>
      </c>
      <c r="C108" s="6">
        <v>18.530000999999999</v>
      </c>
    </row>
    <row r="109" spans="1:3" x14ac:dyDescent="0.25">
      <c r="A109" s="5">
        <v>40938</v>
      </c>
      <c r="B109" s="6">
        <v>107.230789</v>
      </c>
      <c r="C109" s="6">
        <v>19.399999999999999</v>
      </c>
    </row>
    <row r="110" spans="1:3" x14ac:dyDescent="0.25">
      <c r="A110" s="5">
        <v>40939</v>
      </c>
      <c r="B110" s="6">
        <v>107.18998000000001</v>
      </c>
      <c r="C110" s="6">
        <v>19.440000999999999</v>
      </c>
    </row>
    <row r="111" spans="1:3" x14ac:dyDescent="0.25">
      <c r="A111" s="5">
        <v>40940</v>
      </c>
      <c r="B111" s="6">
        <v>108.12867</v>
      </c>
      <c r="C111" s="6">
        <v>18.549999</v>
      </c>
    </row>
    <row r="112" spans="1:3" x14ac:dyDescent="0.25">
      <c r="A112" s="5">
        <v>40941</v>
      </c>
      <c r="B112" s="6">
        <v>108.300072</v>
      </c>
      <c r="C112" s="6">
        <v>17.98</v>
      </c>
    </row>
    <row r="113" spans="1:3" x14ac:dyDescent="0.25">
      <c r="A113" s="5">
        <v>40942</v>
      </c>
      <c r="B113" s="6">
        <v>109.818321</v>
      </c>
      <c r="C113" s="6">
        <v>17.100000000000001</v>
      </c>
    </row>
    <row r="114" spans="1:3" x14ac:dyDescent="0.25">
      <c r="A114" s="5">
        <v>40945</v>
      </c>
      <c r="B114" s="6">
        <v>109.74483499999999</v>
      </c>
      <c r="C114" s="6">
        <v>17.760000000000002</v>
      </c>
    </row>
    <row r="115" spans="1:3" x14ac:dyDescent="0.25">
      <c r="A115" s="5">
        <v>40946</v>
      </c>
      <c r="B115" s="6">
        <v>110.02235400000001</v>
      </c>
      <c r="C115" s="6">
        <v>17.649999999999999</v>
      </c>
    </row>
    <row r="116" spans="1:3" x14ac:dyDescent="0.25">
      <c r="A116" s="5">
        <v>40947</v>
      </c>
      <c r="B116" s="6">
        <v>110.348862</v>
      </c>
      <c r="C116" s="6">
        <v>18.16</v>
      </c>
    </row>
    <row r="117" spans="1:3" x14ac:dyDescent="0.25">
      <c r="A117" s="5">
        <v>40948</v>
      </c>
      <c r="B117" s="6">
        <v>110.487633</v>
      </c>
      <c r="C117" s="6">
        <v>18.629999000000002</v>
      </c>
    </row>
    <row r="118" spans="1:3" x14ac:dyDescent="0.25">
      <c r="A118" s="5">
        <v>40949</v>
      </c>
      <c r="B118" s="6">
        <v>109.67137099999999</v>
      </c>
      <c r="C118" s="6">
        <v>20.790001</v>
      </c>
    </row>
    <row r="119" spans="1:3" x14ac:dyDescent="0.25">
      <c r="A119" s="5">
        <v>40952</v>
      </c>
      <c r="B119" s="6">
        <v>110.487633</v>
      </c>
      <c r="C119" s="6">
        <v>19.040001</v>
      </c>
    </row>
    <row r="120" spans="1:3" x14ac:dyDescent="0.25">
      <c r="A120" s="5">
        <v>40953</v>
      </c>
      <c r="B120" s="6">
        <v>110.348862</v>
      </c>
      <c r="C120" s="6">
        <v>19.540001</v>
      </c>
    </row>
    <row r="121" spans="1:3" x14ac:dyDescent="0.25">
      <c r="A121" s="5">
        <v>40954</v>
      </c>
      <c r="B121" s="6">
        <v>109.834602</v>
      </c>
      <c r="C121" s="6">
        <v>21.139999</v>
      </c>
    </row>
    <row r="122" spans="1:3" x14ac:dyDescent="0.25">
      <c r="A122" s="5">
        <v>40955</v>
      </c>
      <c r="B122" s="6">
        <v>111.050827</v>
      </c>
      <c r="C122" s="6">
        <v>19.219999000000001</v>
      </c>
    </row>
    <row r="123" spans="1:3" x14ac:dyDescent="0.25">
      <c r="A123" s="5">
        <v>40956</v>
      </c>
      <c r="B123" s="6">
        <v>111.344673</v>
      </c>
      <c r="C123" s="6">
        <v>17.780000999999999</v>
      </c>
    </row>
    <row r="124" spans="1:3" x14ac:dyDescent="0.25">
      <c r="A124" s="5">
        <v>40960</v>
      </c>
      <c r="B124" s="6">
        <v>111.39368399999999</v>
      </c>
      <c r="C124" s="6">
        <v>18.190000999999999</v>
      </c>
    </row>
    <row r="125" spans="1:3" x14ac:dyDescent="0.25">
      <c r="A125" s="5">
        <v>40961</v>
      </c>
      <c r="B125" s="6">
        <v>111.034492</v>
      </c>
      <c r="C125" s="6">
        <v>18.190000999999999</v>
      </c>
    </row>
    <row r="126" spans="1:3" x14ac:dyDescent="0.25">
      <c r="A126" s="5">
        <v>40962</v>
      </c>
      <c r="B126" s="6">
        <v>111.524277</v>
      </c>
      <c r="C126" s="6">
        <v>16.799999</v>
      </c>
    </row>
    <row r="127" spans="1:3" x14ac:dyDescent="0.25">
      <c r="A127" s="5">
        <v>40963</v>
      </c>
      <c r="B127" s="6">
        <v>111.769142</v>
      </c>
      <c r="C127" s="6">
        <v>17.309999000000001</v>
      </c>
    </row>
    <row r="128" spans="1:3" x14ac:dyDescent="0.25">
      <c r="A128" s="5">
        <v>40966</v>
      </c>
      <c r="B128" s="6">
        <v>111.95689400000001</v>
      </c>
      <c r="C128" s="6">
        <v>18.190000999999999</v>
      </c>
    </row>
    <row r="129" spans="1:3" x14ac:dyDescent="0.25">
      <c r="A129" s="5">
        <v>40967</v>
      </c>
      <c r="B129" s="6">
        <v>112.283394</v>
      </c>
      <c r="C129" s="6">
        <v>17.959999</v>
      </c>
    </row>
    <row r="130" spans="1:3" x14ac:dyDescent="0.25">
      <c r="A130" s="5">
        <v>40968</v>
      </c>
      <c r="B130" s="6">
        <v>111.84262099999999</v>
      </c>
      <c r="C130" s="6">
        <v>18.43</v>
      </c>
    </row>
    <row r="131" spans="1:3" x14ac:dyDescent="0.25">
      <c r="A131" s="5">
        <v>40969</v>
      </c>
      <c r="B131" s="6">
        <v>112.422134</v>
      </c>
      <c r="C131" s="6">
        <v>17.260000000000002</v>
      </c>
    </row>
    <row r="132" spans="1:3" x14ac:dyDescent="0.25">
      <c r="A132" s="5">
        <v>40970</v>
      </c>
      <c r="B132" s="6">
        <v>112.0793</v>
      </c>
      <c r="C132" s="6">
        <v>17.290001</v>
      </c>
    </row>
    <row r="133" spans="1:3" x14ac:dyDescent="0.25">
      <c r="A133" s="5">
        <v>40973</v>
      </c>
      <c r="B133" s="6">
        <v>111.622208</v>
      </c>
      <c r="C133" s="6">
        <v>18.049999</v>
      </c>
    </row>
    <row r="134" spans="1:3" x14ac:dyDescent="0.25">
      <c r="A134" s="5">
        <v>40974</v>
      </c>
      <c r="B134" s="6">
        <v>109.9897</v>
      </c>
      <c r="C134" s="6">
        <v>20.870000999999998</v>
      </c>
    </row>
    <row r="135" spans="1:3" x14ac:dyDescent="0.25">
      <c r="A135" s="5">
        <v>40975</v>
      </c>
      <c r="B135" s="6">
        <v>110.75701100000001</v>
      </c>
      <c r="C135" s="6">
        <v>19.07</v>
      </c>
    </row>
    <row r="136" spans="1:3" x14ac:dyDescent="0.25">
      <c r="A136" s="5">
        <v>40976</v>
      </c>
      <c r="B136" s="6">
        <v>111.85890999999999</v>
      </c>
      <c r="C136" s="6">
        <v>17.950001</v>
      </c>
    </row>
    <row r="137" spans="1:3" x14ac:dyDescent="0.25">
      <c r="A137" s="5">
        <v>40977</v>
      </c>
      <c r="B137" s="6">
        <v>112.29156500000001</v>
      </c>
      <c r="C137" s="6">
        <v>17.110001</v>
      </c>
    </row>
    <row r="138" spans="1:3" x14ac:dyDescent="0.25">
      <c r="A138" s="5">
        <v>40980</v>
      </c>
      <c r="B138" s="6">
        <v>112.299683</v>
      </c>
      <c r="C138" s="6">
        <v>15.64</v>
      </c>
    </row>
    <row r="139" spans="1:3" x14ac:dyDescent="0.25">
      <c r="A139" s="19">
        <v>40981</v>
      </c>
      <c r="B139" s="20">
        <v>114.323975</v>
      </c>
      <c r="C139" s="20">
        <v>14.8</v>
      </c>
    </row>
    <row r="140" spans="1:3" x14ac:dyDescent="0.25">
      <c r="A140" s="5">
        <v>40982</v>
      </c>
      <c r="B140" s="6">
        <v>114.201553</v>
      </c>
      <c r="C140" s="6">
        <v>15.31</v>
      </c>
    </row>
    <row r="141" spans="1:3" x14ac:dyDescent="0.25">
      <c r="A141" s="5">
        <v>40983</v>
      </c>
      <c r="B141" s="6">
        <v>114.862709</v>
      </c>
      <c r="C141" s="6">
        <v>15.42</v>
      </c>
    </row>
    <row r="142" spans="1:3" x14ac:dyDescent="0.25">
      <c r="A142" s="5">
        <v>40984</v>
      </c>
      <c r="B142" s="6">
        <v>115.02177399999999</v>
      </c>
      <c r="C142" s="6">
        <v>14.47</v>
      </c>
    </row>
    <row r="143" spans="1:3" x14ac:dyDescent="0.25">
      <c r="A143" s="5">
        <v>40987</v>
      </c>
      <c r="B143" s="6">
        <v>115.472679</v>
      </c>
      <c r="C143" s="6">
        <v>15.04</v>
      </c>
    </row>
    <row r="144" spans="1:3" x14ac:dyDescent="0.25">
      <c r="A144" s="5">
        <v>40988</v>
      </c>
      <c r="B144" s="6">
        <v>115.136566</v>
      </c>
      <c r="C144" s="6">
        <v>15.58</v>
      </c>
    </row>
    <row r="145" spans="1:3" x14ac:dyDescent="0.25">
      <c r="A145" s="5">
        <v>40989</v>
      </c>
      <c r="B145" s="6">
        <v>114.948021</v>
      </c>
      <c r="C145" s="6">
        <v>15.13</v>
      </c>
    </row>
    <row r="146" spans="1:3" x14ac:dyDescent="0.25">
      <c r="A146" s="5">
        <v>40990</v>
      </c>
      <c r="B146" s="6">
        <v>114.11994199999999</v>
      </c>
      <c r="C146" s="6">
        <v>15.57</v>
      </c>
    </row>
    <row r="147" spans="1:3" x14ac:dyDescent="0.25">
      <c r="A147" s="5">
        <v>40991</v>
      </c>
      <c r="B147" s="6">
        <v>114.488907</v>
      </c>
      <c r="C147" s="6">
        <v>14.82</v>
      </c>
    </row>
    <row r="148" spans="1:3" x14ac:dyDescent="0.25">
      <c r="A148" s="5">
        <v>40994</v>
      </c>
      <c r="B148" s="6">
        <v>116.09575700000001</v>
      </c>
      <c r="C148" s="6">
        <v>14.26</v>
      </c>
    </row>
    <row r="149" spans="1:3" x14ac:dyDescent="0.25">
      <c r="A149" s="5">
        <v>40995</v>
      </c>
      <c r="B149" s="6">
        <v>115.735077</v>
      </c>
      <c r="C149" s="6">
        <v>15.59</v>
      </c>
    </row>
    <row r="150" spans="1:3" x14ac:dyDescent="0.25">
      <c r="A150" s="5">
        <v>40996</v>
      </c>
      <c r="B150" s="6">
        <v>115.16115600000001</v>
      </c>
      <c r="C150" s="6">
        <v>15.47</v>
      </c>
    </row>
    <row r="151" spans="1:3" x14ac:dyDescent="0.25">
      <c r="A151" s="5">
        <v>40997</v>
      </c>
      <c r="B151" s="6">
        <v>114.964371</v>
      </c>
      <c r="C151" s="6">
        <v>15.48</v>
      </c>
    </row>
    <row r="152" spans="1:3" x14ac:dyDescent="0.25">
      <c r="A152" s="5">
        <v>40998</v>
      </c>
      <c r="B152" s="6">
        <v>115.439911</v>
      </c>
      <c r="C152" s="6">
        <v>15.5</v>
      </c>
    </row>
    <row r="153" spans="1:3" x14ac:dyDescent="0.25">
      <c r="A153" s="5">
        <v>41001</v>
      </c>
      <c r="B153" s="6">
        <v>116.284325</v>
      </c>
      <c r="C153" s="6">
        <v>15.64</v>
      </c>
    </row>
    <row r="154" spans="1:3" x14ac:dyDescent="0.25">
      <c r="A154" s="5">
        <v>41002</v>
      </c>
      <c r="B154" s="6">
        <v>115.80880000000001</v>
      </c>
      <c r="C154" s="6">
        <v>15.66</v>
      </c>
    </row>
    <row r="155" spans="1:3" x14ac:dyDescent="0.25">
      <c r="A155" s="5">
        <v>41003</v>
      </c>
      <c r="B155" s="6">
        <v>114.661041</v>
      </c>
      <c r="C155" s="6">
        <v>16.440000999999999</v>
      </c>
    </row>
    <row r="156" spans="1:3" x14ac:dyDescent="0.25">
      <c r="A156" s="5">
        <v>41004</v>
      </c>
      <c r="B156" s="6">
        <v>114.60369900000001</v>
      </c>
      <c r="C156" s="6">
        <v>16.700001</v>
      </c>
    </row>
    <row r="157" spans="1:3" x14ac:dyDescent="0.25">
      <c r="A157" s="5">
        <v>41008</v>
      </c>
      <c r="B157" s="6">
        <v>113.31652800000001</v>
      </c>
      <c r="C157" s="6">
        <v>18.809999000000001</v>
      </c>
    </row>
    <row r="158" spans="1:3" x14ac:dyDescent="0.25">
      <c r="A158" s="5">
        <v>41009</v>
      </c>
      <c r="B158" s="6">
        <v>111.414528</v>
      </c>
      <c r="C158" s="6">
        <v>20.389999</v>
      </c>
    </row>
    <row r="159" spans="1:3" x14ac:dyDescent="0.25">
      <c r="A159" s="5">
        <v>41010</v>
      </c>
      <c r="B159" s="6">
        <v>112.31636</v>
      </c>
      <c r="C159" s="6">
        <v>20.02</v>
      </c>
    </row>
    <row r="160" spans="1:3" x14ac:dyDescent="0.25">
      <c r="A160" s="5">
        <v>41011</v>
      </c>
      <c r="B160" s="6">
        <v>113.783829</v>
      </c>
      <c r="C160" s="6">
        <v>17.200001</v>
      </c>
    </row>
    <row r="161" spans="1:3" x14ac:dyDescent="0.25">
      <c r="A161" s="5">
        <v>41012</v>
      </c>
      <c r="B161" s="6">
        <v>112.431129</v>
      </c>
      <c r="C161" s="6">
        <v>19.549999</v>
      </c>
    </row>
    <row r="162" spans="1:3" x14ac:dyDescent="0.25">
      <c r="A162" s="5">
        <v>41015</v>
      </c>
      <c r="B162" s="6">
        <v>112.35732299999999</v>
      </c>
      <c r="C162" s="6">
        <v>19.549999</v>
      </c>
    </row>
    <row r="163" spans="1:3" x14ac:dyDescent="0.25">
      <c r="A163" s="5">
        <v>41016</v>
      </c>
      <c r="B163" s="6">
        <v>114.021591</v>
      </c>
      <c r="C163" s="6">
        <v>18.459999</v>
      </c>
    </row>
    <row r="164" spans="1:3" x14ac:dyDescent="0.25">
      <c r="A164" s="5">
        <v>41017</v>
      </c>
      <c r="B164" s="6">
        <v>113.636292</v>
      </c>
      <c r="C164" s="6">
        <v>18.639999</v>
      </c>
    </row>
    <row r="165" spans="1:3" x14ac:dyDescent="0.25">
      <c r="A165" s="5">
        <v>41018</v>
      </c>
      <c r="B165" s="6">
        <v>112.906616</v>
      </c>
      <c r="C165" s="6">
        <v>18.360001</v>
      </c>
    </row>
    <row r="166" spans="1:3" x14ac:dyDescent="0.25">
      <c r="A166" s="5">
        <v>41019</v>
      </c>
      <c r="B166" s="6">
        <v>113.095184</v>
      </c>
      <c r="C166" s="6">
        <v>17.440000999999999</v>
      </c>
    </row>
    <row r="167" spans="1:3" x14ac:dyDescent="0.25">
      <c r="A167" s="5">
        <v>41022</v>
      </c>
      <c r="B167" s="6">
        <v>112.14415700000001</v>
      </c>
      <c r="C167" s="6">
        <v>18.969999000000001</v>
      </c>
    </row>
    <row r="168" spans="1:3" x14ac:dyDescent="0.25">
      <c r="A168" s="5">
        <v>41023</v>
      </c>
      <c r="B168" s="6">
        <v>112.57053399999999</v>
      </c>
      <c r="C168" s="6">
        <v>18.100000000000001</v>
      </c>
    </row>
    <row r="169" spans="1:3" x14ac:dyDescent="0.25">
      <c r="A169" s="19">
        <v>41024</v>
      </c>
      <c r="B169" s="20">
        <v>114.111778</v>
      </c>
      <c r="C169" s="20">
        <v>16.82</v>
      </c>
    </row>
    <row r="170" spans="1:3" x14ac:dyDescent="0.25">
      <c r="A170" s="5">
        <v>41025</v>
      </c>
      <c r="B170" s="6">
        <v>114.907021</v>
      </c>
      <c r="C170" s="6">
        <v>16.239999999999998</v>
      </c>
    </row>
    <row r="171" spans="1:3" x14ac:dyDescent="0.25">
      <c r="A171" s="5">
        <v>41026</v>
      </c>
      <c r="B171" s="6">
        <v>115.095589</v>
      </c>
      <c r="C171" s="6">
        <v>16.32</v>
      </c>
    </row>
    <row r="172" spans="1:3" x14ac:dyDescent="0.25">
      <c r="A172" s="5">
        <v>41029</v>
      </c>
      <c r="B172" s="6">
        <v>114.669281</v>
      </c>
      <c r="C172" s="6">
        <v>17.149999999999999</v>
      </c>
    </row>
    <row r="173" spans="1:3" x14ac:dyDescent="0.25">
      <c r="A173" s="5">
        <v>41030</v>
      </c>
      <c r="B173" s="6">
        <v>115.38253</v>
      </c>
      <c r="C173" s="6">
        <v>16.600000000000001</v>
      </c>
    </row>
    <row r="174" spans="1:3" x14ac:dyDescent="0.25">
      <c r="A174" s="5">
        <v>41031</v>
      </c>
      <c r="B174" s="6">
        <v>115.03816999999999</v>
      </c>
      <c r="C174" s="6">
        <v>16.879999000000002</v>
      </c>
    </row>
    <row r="175" spans="1:3" x14ac:dyDescent="0.25">
      <c r="A175" s="5">
        <v>41032</v>
      </c>
      <c r="B175" s="6">
        <v>114.16094200000001</v>
      </c>
      <c r="C175" s="6">
        <v>17.559999000000001</v>
      </c>
    </row>
    <row r="176" spans="1:3" x14ac:dyDescent="0.25">
      <c r="A176" s="5">
        <v>41033</v>
      </c>
      <c r="B176" s="6">
        <v>112.31636</v>
      </c>
      <c r="C176" s="6">
        <v>19.16</v>
      </c>
    </row>
    <row r="177" spans="1:3" x14ac:dyDescent="0.25">
      <c r="A177" s="5">
        <v>41036</v>
      </c>
      <c r="B177" s="6">
        <v>112.398338</v>
      </c>
      <c r="C177" s="6">
        <v>18.940000999999999</v>
      </c>
    </row>
    <row r="178" spans="1:3" x14ac:dyDescent="0.25">
      <c r="A178" s="5">
        <v>41037</v>
      </c>
      <c r="B178" s="6">
        <v>111.947441</v>
      </c>
      <c r="C178" s="6">
        <v>19.049999</v>
      </c>
    </row>
    <row r="179" spans="1:3" x14ac:dyDescent="0.25">
      <c r="A179" s="5">
        <v>41038</v>
      </c>
      <c r="B179" s="6">
        <v>111.28338599999999</v>
      </c>
      <c r="C179" s="6">
        <v>20.079999999999998</v>
      </c>
    </row>
    <row r="180" spans="1:3" x14ac:dyDescent="0.25">
      <c r="A180" s="5">
        <v>41039</v>
      </c>
      <c r="B180" s="6">
        <v>111.512924</v>
      </c>
      <c r="C180" s="6">
        <v>18.829999999999998</v>
      </c>
    </row>
    <row r="181" spans="1:3" x14ac:dyDescent="0.25">
      <c r="A181" s="5">
        <v>41040</v>
      </c>
      <c r="B181" s="6">
        <v>111.17678100000001</v>
      </c>
      <c r="C181" s="6">
        <v>19.889999</v>
      </c>
    </row>
    <row r="182" spans="1:3" x14ac:dyDescent="0.25">
      <c r="A182" s="5">
        <v>41043</v>
      </c>
      <c r="B182" s="6">
        <v>109.94705999999999</v>
      </c>
      <c r="C182" s="6">
        <v>21.870000999999998</v>
      </c>
    </row>
    <row r="183" spans="1:3" x14ac:dyDescent="0.25">
      <c r="A183" s="5">
        <v>41044</v>
      </c>
      <c r="B183" s="6">
        <v>109.315781</v>
      </c>
      <c r="C183" s="6">
        <v>21.969999000000001</v>
      </c>
    </row>
    <row r="184" spans="1:3" x14ac:dyDescent="0.25">
      <c r="A184" s="5">
        <v>41045</v>
      </c>
      <c r="B184" s="6">
        <v>108.89769</v>
      </c>
      <c r="C184" s="6">
        <v>22.27</v>
      </c>
    </row>
    <row r="185" spans="1:3" x14ac:dyDescent="0.25">
      <c r="A185" s="5">
        <v>41046</v>
      </c>
      <c r="B185" s="6">
        <v>107.282616</v>
      </c>
      <c r="C185" s="6">
        <v>24.49</v>
      </c>
    </row>
    <row r="186" spans="1:3" x14ac:dyDescent="0.25">
      <c r="A186" s="5">
        <v>41047</v>
      </c>
      <c r="B186" s="6">
        <v>106.36441000000001</v>
      </c>
      <c r="C186" s="6">
        <v>25.1</v>
      </c>
    </row>
    <row r="187" spans="1:3" x14ac:dyDescent="0.25">
      <c r="A187" s="5">
        <v>41050</v>
      </c>
      <c r="B187" s="6">
        <v>108.19261899999999</v>
      </c>
      <c r="C187" s="6">
        <v>22.01</v>
      </c>
    </row>
    <row r="188" spans="1:3" x14ac:dyDescent="0.25">
      <c r="A188" s="5">
        <v>41051</v>
      </c>
      <c r="B188" s="6">
        <v>108.38121</v>
      </c>
      <c r="C188" s="6">
        <v>22.48</v>
      </c>
    </row>
    <row r="189" spans="1:3" x14ac:dyDescent="0.25">
      <c r="A189" s="5">
        <v>41052</v>
      </c>
      <c r="B189" s="6">
        <v>108.43858299999999</v>
      </c>
      <c r="C189" s="6">
        <v>22.33</v>
      </c>
    </row>
    <row r="190" spans="1:3" x14ac:dyDescent="0.25">
      <c r="A190" s="5">
        <v>41053</v>
      </c>
      <c r="B190" s="6">
        <v>108.65171100000001</v>
      </c>
      <c r="C190" s="6">
        <v>21.540001</v>
      </c>
    </row>
    <row r="191" spans="1:3" x14ac:dyDescent="0.25">
      <c r="A191" s="5">
        <v>41054</v>
      </c>
      <c r="B191" s="6">
        <v>108.299217</v>
      </c>
      <c r="C191" s="6">
        <v>21.76</v>
      </c>
    </row>
    <row r="192" spans="1:3" x14ac:dyDescent="0.25">
      <c r="A192" s="5">
        <v>41058</v>
      </c>
      <c r="B192" s="6">
        <v>109.610924</v>
      </c>
      <c r="C192" s="6">
        <v>21.030000999999999</v>
      </c>
    </row>
    <row r="193" spans="1:3" x14ac:dyDescent="0.25">
      <c r="A193" s="5">
        <v>41059</v>
      </c>
      <c r="B193" s="6">
        <v>108.020439</v>
      </c>
      <c r="C193" s="6">
        <v>24.139999</v>
      </c>
    </row>
    <row r="194" spans="1:3" x14ac:dyDescent="0.25">
      <c r="A194" s="5">
        <v>41060</v>
      </c>
      <c r="B194" s="6">
        <v>107.782692</v>
      </c>
      <c r="C194" s="6">
        <v>24.059999000000001</v>
      </c>
    </row>
    <row r="195" spans="1:3" x14ac:dyDescent="0.25">
      <c r="A195" s="5">
        <v>41061</v>
      </c>
      <c r="B195" s="6">
        <v>105.06907699999999</v>
      </c>
      <c r="C195" s="6">
        <v>26.66</v>
      </c>
    </row>
    <row r="196" spans="1:3" x14ac:dyDescent="0.25">
      <c r="A196" s="5">
        <v>41064</v>
      </c>
      <c r="B196" s="6">
        <v>105.019875</v>
      </c>
      <c r="C196" s="6">
        <v>26.120000999999998</v>
      </c>
    </row>
    <row r="197" spans="1:3" x14ac:dyDescent="0.25">
      <c r="A197" s="5">
        <v>41065</v>
      </c>
      <c r="B197" s="6">
        <v>105.81512499999999</v>
      </c>
      <c r="C197" s="6">
        <v>24.68</v>
      </c>
    </row>
    <row r="198" spans="1:3" x14ac:dyDescent="0.25">
      <c r="A198" s="5">
        <v>41066</v>
      </c>
      <c r="B198" s="6">
        <v>108.19261899999999</v>
      </c>
      <c r="C198" s="6">
        <v>22.16</v>
      </c>
    </row>
    <row r="199" spans="1:3" x14ac:dyDescent="0.25">
      <c r="A199" s="5">
        <v>41067</v>
      </c>
      <c r="B199" s="6">
        <v>108.258202</v>
      </c>
      <c r="C199" s="6">
        <v>21.719999000000001</v>
      </c>
    </row>
    <row r="200" spans="1:3" x14ac:dyDescent="0.25">
      <c r="A200" s="5">
        <v>41068</v>
      </c>
      <c r="B200" s="6">
        <v>109.11902600000001</v>
      </c>
      <c r="C200" s="6">
        <v>21.23</v>
      </c>
    </row>
    <row r="201" spans="1:3" x14ac:dyDescent="0.25">
      <c r="A201" s="5">
        <v>41071</v>
      </c>
      <c r="B201" s="6">
        <v>107.73352800000001</v>
      </c>
      <c r="C201" s="6">
        <v>23.559999000000001</v>
      </c>
    </row>
    <row r="202" spans="1:3" x14ac:dyDescent="0.25">
      <c r="A202" s="5">
        <v>41072</v>
      </c>
      <c r="B202" s="6">
        <v>108.971474</v>
      </c>
      <c r="C202" s="6">
        <v>22.09</v>
      </c>
    </row>
    <row r="203" spans="1:3" x14ac:dyDescent="0.25">
      <c r="A203" s="5">
        <v>41073</v>
      </c>
      <c r="B203" s="6">
        <v>108.27465100000001</v>
      </c>
      <c r="C203" s="6">
        <v>24.27</v>
      </c>
    </row>
    <row r="204" spans="1:3" x14ac:dyDescent="0.25">
      <c r="A204" s="5">
        <v>41074</v>
      </c>
      <c r="B204" s="6">
        <v>109.422363</v>
      </c>
      <c r="C204" s="6">
        <v>21.68</v>
      </c>
    </row>
    <row r="205" spans="1:3" x14ac:dyDescent="0.25">
      <c r="A205" s="5">
        <v>41075</v>
      </c>
      <c r="B205" s="6">
        <v>110.54145800000001</v>
      </c>
      <c r="C205" s="6">
        <v>21.110001</v>
      </c>
    </row>
    <row r="206" spans="1:3" x14ac:dyDescent="0.25">
      <c r="A206" s="5">
        <v>41078</v>
      </c>
      <c r="B206" s="6">
        <v>110.755714</v>
      </c>
      <c r="C206" s="6">
        <v>18.32</v>
      </c>
    </row>
    <row r="207" spans="1:3" x14ac:dyDescent="0.25">
      <c r="A207" s="5">
        <v>41079</v>
      </c>
      <c r="B207" s="6">
        <v>111.827026</v>
      </c>
      <c r="C207" s="6">
        <v>18.379999000000002</v>
      </c>
    </row>
    <row r="208" spans="1:3" x14ac:dyDescent="0.25">
      <c r="A208" s="19">
        <v>41080</v>
      </c>
      <c r="B208" s="20">
        <v>111.64569899999999</v>
      </c>
      <c r="C208" s="20">
        <v>17.239999999999998</v>
      </c>
    </row>
    <row r="209" spans="1:3" x14ac:dyDescent="0.25">
      <c r="A209" s="5">
        <v>41081</v>
      </c>
      <c r="B209" s="6">
        <v>109.140556</v>
      </c>
      <c r="C209" s="6">
        <v>20.079999999999998</v>
      </c>
    </row>
    <row r="210" spans="1:3" x14ac:dyDescent="0.25">
      <c r="A210" s="5">
        <v>41082</v>
      </c>
      <c r="B210" s="6">
        <v>109.981087</v>
      </c>
      <c r="C210" s="6">
        <v>18.110001</v>
      </c>
    </row>
    <row r="211" spans="1:3" x14ac:dyDescent="0.25">
      <c r="A211" s="5">
        <v>41085</v>
      </c>
      <c r="B211" s="6">
        <v>108.217567</v>
      </c>
      <c r="C211" s="6">
        <v>20.379999000000002</v>
      </c>
    </row>
    <row r="212" spans="1:3" x14ac:dyDescent="0.25">
      <c r="A212" s="5">
        <v>41086</v>
      </c>
      <c r="B212" s="6">
        <v>108.76145200000001</v>
      </c>
      <c r="C212" s="6">
        <v>19.719999000000001</v>
      </c>
    </row>
    <row r="213" spans="1:3" x14ac:dyDescent="0.25">
      <c r="A213" s="5">
        <v>41087</v>
      </c>
      <c r="B213" s="6">
        <v>109.742104</v>
      </c>
      <c r="C213" s="6">
        <v>19.450001</v>
      </c>
    </row>
    <row r="214" spans="1:3" x14ac:dyDescent="0.25">
      <c r="A214" s="5">
        <v>41088</v>
      </c>
      <c r="B214" s="6">
        <v>109.42894</v>
      </c>
      <c r="C214" s="6">
        <v>19.709999</v>
      </c>
    </row>
    <row r="215" spans="1:3" x14ac:dyDescent="0.25">
      <c r="A215" s="5">
        <v>41089</v>
      </c>
      <c r="B215" s="6">
        <v>112.156639</v>
      </c>
      <c r="C215" s="6">
        <v>17.079999999999998</v>
      </c>
    </row>
    <row r="216" spans="1:3" x14ac:dyDescent="0.25">
      <c r="A216" s="5">
        <v>41092</v>
      </c>
      <c r="B216" s="6">
        <v>112.494499</v>
      </c>
      <c r="C216" s="6">
        <v>16.799999</v>
      </c>
    </row>
    <row r="217" spans="1:3" x14ac:dyDescent="0.25">
      <c r="A217" s="5">
        <v>41093</v>
      </c>
      <c r="B217" s="6">
        <v>113.23619100000001</v>
      </c>
      <c r="C217" s="6">
        <v>16.66</v>
      </c>
    </row>
    <row r="218" spans="1:3" x14ac:dyDescent="0.25">
      <c r="A218" s="5">
        <v>41095</v>
      </c>
      <c r="B218" s="6">
        <v>112.725227</v>
      </c>
      <c r="C218" s="6">
        <v>17.5</v>
      </c>
    </row>
    <row r="219" spans="1:3" x14ac:dyDescent="0.25">
      <c r="A219" s="5">
        <v>41096</v>
      </c>
      <c r="B219" s="6">
        <v>111.653976</v>
      </c>
      <c r="C219" s="6">
        <v>17.100000000000001</v>
      </c>
    </row>
    <row r="220" spans="1:3" x14ac:dyDescent="0.25">
      <c r="A220" s="5">
        <v>41099</v>
      </c>
      <c r="B220" s="6">
        <v>111.51387</v>
      </c>
      <c r="C220" s="6">
        <v>17.98</v>
      </c>
    </row>
    <row r="221" spans="1:3" x14ac:dyDescent="0.25">
      <c r="A221" s="5">
        <v>41100</v>
      </c>
      <c r="B221" s="6">
        <v>110.54145800000001</v>
      </c>
      <c r="C221" s="6">
        <v>18.719999000000001</v>
      </c>
    </row>
    <row r="222" spans="1:3" x14ac:dyDescent="0.25">
      <c r="A222" s="5">
        <v>41101</v>
      </c>
      <c r="B222" s="6">
        <v>110.557945</v>
      </c>
      <c r="C222" s="6">
        <v>17.950001</v>
      </c>
    </row>
    <row r="223" spans="1:3" x14ac:dyDescent="0.25">
      <c r="A223" s="5">
        <v>41102</v>
      </c>
      <c r="B223" s="6">
        <v>110.022278</v>
      </c>
      <c r="C223" s="6">
        <v>18.329999999999998</v>
      </c>
    </row>
    <row r="224" spans="1:3" x14ac:dyDescent="0.25">
      <c r="A224" s="5">
        <v>41103</v>
      </c>
      <c r="B224" s="6">
        <v>111.86821</v>
      </c>
      <c r="C224" s="6">
        <v>16.739999999999998</v>
      </c>
    </row>
    <row r="225" spans="1:3" x14ac:dyDescent="0.25">
      <c r="A225" s="5">
        <v>41106</v>
      </c>
      <c r="B225" s="6">
        <v>111.6045</v>
      </c>
      <c r="C225" s="6">
        <v>17.110001</v>
      </c>
    </row>
    <row r="226" spans="1:3" x14ac:dyDescent="0.25">
      <c r="A226" s="5">
        <v>41107</v>
      </c>
      <c r="B226" s="6">
        <v>112.37093400000001</v>
      </c>
      <c r="C226" s="6">
        <v>16.48</v>
      </c>
    </row>
    <row r="227" spans="1:3" x14ac:dyDescent="0.25">
      <c r="A227" s="5">
        <v>41108</v>
      </c>
      <c r="B227" s="6">
        <v>113.20320100000001</v>
      </c>
      <c r="C227" s="6">
        <v>16.16</v>
      </c>
    </row>
    <row r="228" spans="1:3" x14ac:dyDescent="0.25">
      <c r="A228" s="5">
        <v>41109</v>
      </c>
      <c r="B228" s="6">
        <v>113.499863</v>
      </c>
      <c r="C228" s="6">
        <v>15.45</v>
      </c>
    </row>
    <row r="229" spans="1:3" x14ac:dyDescent="0.25">
      <c r="A229" s="5">
        <v>41110</v>
      </c>
      <c r="B229" s="6">
        <v>112.46154</v>
      </c>
      <c r="C229" s="6">
        <v>16.27</v>
      </c>
    </row>
    <row r="230" spans="1:3" x14ac:dyDescent="0.25">
      <c r="A230" s="5">
        <v>41113</v>
      </c>
      <c r="B230" s="6">
        <v>111.324364</v>
      </c>
      <c r="C230" s="6">
        <v>18.620000999999998</v>
      </c>
    </row>
    <row r="231" spans="1:3" x14ac:dyDescent="0.25">
      <c r="A231" s="5">
        <v>41114</v>
      </c>
      <c r="B231" s="6">
        <v>110.368408</v>
      </c>
      <c r="C231" s="6">
        <v>20.469999000000001</v>
      </c>
    </row>
    <row r="232" spans="1:3" x14ac:dyDescent="0.25">
      <c r="A232" s="5">
        <v>41115</v>
      </c>
      <c r="B232" s="6">
        <v>110.39314299999999</v>
      </c>
      <c r="C232" s="6">
        <v>19.34</v>
      </c>
    </row>
    <row r="233" spans="1:3" x14ac:dyDescent="0.25">
      <c r="A233" s="5">
        <v>41116</v>
      </c>
      <c r="B233" s="6">
        <v>112.214348</v>
      </c>
      <c r="C233" s="6">
        <v>17.530000999999999</v>
      </c>
    </row>
    <row r="234" spans="1:3" x14ac:dyDescent="0.25">
      <c r="A234" s="5">
        <v>41117</v>
      </c>
      <c r="B234" s="6">
        <v>114.28276099999999</v>
      </c>
      <c r="C234" s="6">
        <v>16.700001</v>
      </c>
    </row>
    <row r="235" spans="1:3" x14ac:dyDescent="0.25">
      <c r="A235" s="5">
        <v>41120</v>
      </c>
      <c r="B235" s="6">
        <v>114.28276099999999</v>
      </c>
      <c r="C235" s="6">
        <v>18.030000999999999</v>
      </c>
    </row>
    <row r="236" spans="1:3" x14ac:dyDescent="0.25">
      <c r="A236" s="19">
        <v>41121</v>
      </c>
      <c r="B236" s="20">
        <v>113.483414</v>
      </c>
      <c r="C236" s="20">
        <v>18.93</v>
      </c>
    </row>
    <row r="237" spans="1:3" x14ac:dyDescent="0.25">
      <c r="A237" s="5">
        <v>41122</v>
      </c>
      <c r="B237" s="6">
        <v>113.384514</v>
      </c>
      <c r="C237" s="6">
        <v>18.959999</v>
      </c>
    </row>
    <row r="238" spans="1:3" x14ac:dyDescent="0.25">
      <c r="A238" s="5">
        <v>41123</v>
      </c>
      <c r="B238" s="6">
        <v>112.601662</v>
      </c>
      <c r="C238" s="6">
        <v>17.57</v>
      </c>
    </row>
    <row r="239" spans="1:3" x14ac:dyDescent="0.25">
      <c r="A239" s="5">
        <v>41124</v>
      </c>
      <c r="B239" s="6">
        <v>114.834908</v>
      </c>
      <c r="C239" s="6">
        <v>15.64</v>
      </c>
    </row>
    <row r="240" spans="1:3" x14ac:dyDescent="0.25">
      <c r="A240" s="5">
        <v>41127</v>
      </c>
      <c r="B240" s="6">
        <v>115.057411</v>
      </c>
      <c r="C240" s="6">
        <v>15.95</v>
      </c>
    </row>
    <row r="241" spans="1:3" x14ac:dyDescent="0.25">
      <c r="A241" s="5">
        <v>41128</v>
      </c>
      <c r="B241" s="6">
        <v>115.634224</v>
      </c>
      <c r="C241" s="6">
        <v>15.99</v>
      </c>
    </row>
    <row r="242" spans="1:3" x14ac:dyDescent="0.25">
      <c r="A242" s="5">
        <v>41129</v>
      </c>
      <c r="B242" s="6">
        <v>115.774384</v>
      </c>
      <c r="C242" s="6">
        <v>15.32</v>
      </c>
    </row>
    <row r="243" spans="1:3" x14ac:dyDescent="0.25">
      <c r="A243" s="5">
        <v>41130</v>
      </c>
      <c r="B243" s="6">
        <v>115.87325300000001</v>
      </c>
      <c r="C243" s="6">
        <v>15.28</v>
      </c>
    </row>
    <row r="244" spans="1:3" x14ac:dyDescent="0.25">
      <c r="A244" s="5">
        <v>41131</v>
      </c>
      <c r="B244" s="6">
        <v>116.062752</v>
      </c>
      <c r="C244" s="6">
        <v>14.74</v>
      </c>
    </row>
    <row r="245" spans="1:3" x14ac:dyDescent="0.25">
      <c r="A245" s="5">
        <v>41134</v>
      </c>
      <c r="B245" s="6">
        <v>116.005081</v>
      </c>
      <c r="C245" s="6">
        <v>13.7</v>
      </c>
    </row>
    <row r="246" spans="1:3" x14ac:dyDescent="0.25">
      <c r="A246" s="5">
        <v>41135</v>
      </c>
      <c r="B246" s="6">
        <v>116.02156100000001</v>
      </c>
      <c r="C246" s="6">
        <v>14.85</v>
      </c>
    </row>
    <row r="247" spans="1:3" x14ac:dyDescent="0.25">
      <c r="A247" s="5">
        <v>41136</v>
      </c>
      <c r="B247" s="6">
        <v>116.15340399999999</v>
      </c>
      <c r="C247" s="6">
        <v>14.63</v>
      </c>
    </row>
    <row r="248" spans="1:3" x14ac:dyDescent="0.25">
      <c r="A248" s="5">
        <v>41137</v>
      </c>
      <c r="B248" s="6">
        <v>117.01042200000001</v>
      </c>
      <c r="C248" s="6">
        <v>14.29</v>
      </c>
    </row>
    <row r="249" spans="1:3" x14ac:dyDescent="0.25">
      <c r="A249" s="5">
        <v>41138</v>
      </c>
      <c r="B249" s="6">
        <v>117.166977</v>
      </c>
      <c r="C249" s="6">
        <v>13.45</v>
      </c>
    </row>
    <row r="250" spans="1:3" x14ac:dyDescent="0.25">
      <c r="A250" s="5">
        <v>41141</v>
      </c>
      <c r="B250" s="6">
        <v>117.17525500000001</v>
      </c>
      <c r="C250" s="6">
        <v>14.02</v>
      </c>
    </row>
    <row r="251" spans="1:3" x14ac:dyDescent="0.25">
      <c r="A251" s="5">
        <v>41142</v>
      </c>
      <c r="B251" s="6">
        <v>116.820892</v>
      </c>
      <c r="C251" s="6">
        <v>15.02</v>
      </c>
    </row>
    <row r="252" spans="1:3" x14ac:dyDescent="0.25">
      <c r="A252" s="5">
        <v>41143</v>
      </c>
      <c r="B252" s="6">
        <v>116.870338</v>
      </c>
      <c r="C252" s="6">
        <v>15.11</v>
      </c>
    </row>
    <row r="253" spans="1:3" x14ac:dyDescent="0.25">
      <c r="A253" s="5">
        <v>41144</v>
      </c>
      <c r="B253" s="6">
        <v>115.914429</v>
      </c>
      <c r="C253" s="6">
        <v>15.96</v>
      </c>
    </row>
    <row r="254" spans="1:3" x14ac:dyDescent="0.25">
      <c r="A254" s="5">
        <v>41145</v>
      </c>
      <c r="B254" s="6">
        <v>116.614868</v>
      </c>
      <c r="C254" s="6">
        <v>15.18</v>
      </c>
    </row>
    <row r="255" spans="1:3" x14ac:dyDescent="0.25">
      <c r="A255" s="5">
        <v>41148</v>
      </c>
      <c r="B255" s="6">
        <v>116.63958700000001</v>
      </c>
      <c r="C255" s="6">
        <v>16.350000000000001</v>
      </c>
    </row>
    <row r="256" spans="1:3" x14ac:dyDescent="0.25">
      <c r="A256" s="5">
        <v>41149</v>
      </c>
      <c r="B256" s="6">
        <v>116.52422300000001</v>
      </c>
      <c r="C256" s="6">
        <v>16.489999999999998</v>
      </c>
    </row>
    <row r="257" spans="1:3" x14ac:dyDescent="0.25">
      <c r="A257" s="5">
        <v>41150</v>
      </c>
      <c r="B257" s="6">
        <v>116.614868</v>
      </c>
      <c r="C257" s="6">
        <v>17.059999000000001</v>
      </c>
    </row>
    <row r="258" spans="1:3" x14ac:dyDescent="0.25">
      <c r="A258" s="5">
        <v>41151</v>
      </c>
      <c r="B258" s="6">
        <v>115.774384</v>
      </c>
      <c r="C258" s="6">
        <v>17.829999999999998</v>
      </c>
    </row>
    <row r="259" spans="1:3" x14ac:dyDescent="0.25">
      <c r="A259" s="5">
        <v>41152</v>
      </c>
      <c r="B259" s="6">
        <v>116.326469</v>
      </c>
      <c r="C259" s="6">
        <v>17.469999000000001</v>
      </c>
    </row>
    <row r="260" spans="1:3" x14ac:dyDescent="0.25">
      <c r="A260" s="5">
        <v>41156</v>
      </c>
      <c r="B260" s="6">
        <v>116.219345</v>
      </c>
      <c r="C260" s="6">
        <v>17.98</v>
      </c>
    </row>
    <row r="261" spans="1:3" x14ac:dyDescent="0.25">
      <c r="A261" s="5">
        <v>41157</v>
      </c>
      <c r="B261" s="6">
        <v>116.120468</v>
      </c>
      <c r="C261" s="6">
        <v>17.739999999999998</v>
      </c>
    </row>
    <row r="262" spans="1:3" x14ac:dyDescent="0.25">
      <c r="A262" s="5">
        <v>41158</v>
      </c>
      <c r="B262" s="6">
        <v>118.47730300000001</v>
      </c>
      <c r="C262" s="6">
        <v>15.6</v>
      </c>
    </row>
    <row r="263" spans="1:3" x14ac:dyDescent="0.25">
      <c r="A263" s="5">
        <v>41159</v>
      </c>
      <c r="B263" s="6">
        <v>118.938805</v>
      </c>
      <c r="C263" s="6">
        <v>14.38</v>
      </c>
    </row>
    <row r="264" spans="1:3" x14ac:dyDescent="0.25">
      <c r="A264" s="5">
        <v>41162</v>
      </c>
      <c r="B264" s="6">
        <v>118.263046</v>
      </c>
      <c r="C264" s="6">
        <v>16.280000999999999</v>
      </c>
    </row>
    <row r="265" spans="1:3" x14ac:dyDescent="0.25">
      <c r="A265" s="5">
        <v>41163</v>
      </c>
      <c r="B265" s="6">
        <v>118.592682</v>
      </c>
      <c r="C265" s="6">
        <v>16.41</v>
      </c>
    </row>
    <row r="266" spans="1:3" x14ac:dyDescent="0.25">
      <c r="A266" s="5">
        <v>41164</v>
      </c>
      <c r="B266" s="6">
        <v>118.98822</v>
      </c>
      <c r="C266" s="6">
        <v>15.8</v>
      </c>
    </row>
    <row r="267" spans="1:3" x14ac:dyDescent="0.25">
      <c r="A267" s="19">
        <v>41165</v>
      </c>
      <c r="B267" s="20">
        <v>120.80117</v>
      </c>
      <c r="C267" s="20">
        <v>14.05</v>
      </c>
    </row>
    <row r="268" spans="1:3" x14ac:dyDescent="0.25">
      <c r="A268" s="5">
        <v>41166</v>
      </c>
      <c r="B268" s="6">
        <v>121.336861</v>
      </c>
      <c r="C268" s="6">
        <v>14.51</v>
      </c>
    </row>
    <row r="269" spans="1:3" x14ac:dyDescent="0.25">
      <c r="A269" s="5">
        <v>41169</v>
      </c>
      <c r="B269" s="6">
        <v>120.92480500000001</v>
      </c>
      <c r="C269" s="6">
        <v>14.59</v>
      </c>
    </row>
    <row r="270" spans="1:3" x14ac:dyDescent="0.25">
      <c r="A270" s="5">
        <v>41170</v>
      </c>
      <c r="B270" s="6">
        <v>120.825897</v>
      </c>
      <c r="C270" s="6">
        <v>14.18</v>
      </c>
    </row>
    <row r="271" spans="1:3" x14ac:dyDescent="0.25">
      <c r="A271" s="5">
        <v>41171</v>
      </c>
      <c r="B271" s="6">
        <v>120.891823</v>
      </c>
      <c r="C271" s="6">
        <v>13.88</v>
      </c>
    </row>
    <row r="272" spans="1:3" x14ac:dyDescent="0.25">
      <c r="A272" s="5">
        <v>41172</v>
      </c>
      <c r="B272" s="6">
        <v>120.900093</v>
      </c>
      <c r="C272" s="6">
        <v>14.07</v>
      </c>
    </row>
    <row r="273" spans="1:3" x14ac:dyDescent="0.25">
      <c r="A273" s="5">
        <v>41173</v>
      </c>
      <c r="B273" s="6">
        <v>120.849548</v>
      </c>
      <c r="C273" s="6">
        <v>13.98</v>
      </c>
    </row>
    <row r="274" spans="1:3" x14ac:dyDescent="0.25">
      <c r="A274" s="5">
        <v>41176</v>
      </c>
      <c r="B274" s="6">
        <v>120.66728999999999</v>
      </c>
      <c r="C274" s="6">
        <v>14.15</v>
      </c>
    </row>
    <row r="275" spans="1:3" x14ac:dyDescent="0.25">
      <c r="A275" s="5">
        <v>41177</v>
      </c>
      <c r="B275" s="6">
        <v>119.38314099999999</v>
      </c>
      <c r="C275" s="6">
        <v>15.43</v>
      </c>
    </row>
    <row r="276" spans="1:3" x14ac:dyDescent="0.25">
      <c r="A276" s="5">
        <v>41178</v>
      </c>
      <c r="B276" s="6">
        <v>118.712036</v>
      </c>
      <c r="C276" s="6">
        <v>16.809999000000001</v>
      </c>
    </row>
    <row r="277" spans="1:3" x14ac:dyDescent="0.25">
      <c r="A277" s="5">
        <v>41179</v>
      </c>
      <c r="B277" s="6">
        <v>119.830544</v>
      </c>
      <c r="C277" s="6">
        <v>14.84</v>
      </c>
    </row>
    <row r="278" spans="1:3" x14ac:dyDescent="0.25">
      <c r="A278" s="5">
        <v>41180</v>
      </c>
      <c r="B278" s="6">
        <v>119.275436</v>
      </c>
      <c r="C278" s="6">
        <v>15.73</v>
      </c>
    </row>
    <row r="279" spans="1:3" x14ac:dyDescent="0.25">
      <c r="A279" s="5">
        <v>41183</v>
      </c>
      <c r="B279" s="6">
        <v>119.590279</v>
      </c>
      <c r="C279" s="6">
        <v>16.32</v>
      </c>
    </row>
    <row r="280" spans="1:3" x14ac:dyDescent="0.25">
      <c r="A280" s="5">
        <v>41184</v>
      </c>
      <c r="B280" s="6">
        <v>119.714569</v>
      </c>
      <c r="C280" s="6">
        <v>15.71</v>
      </c>
    </row>
    <row r="281" spans="1:3" x14ac:dyDescent="0.25">
      <c r="A281" s="5">
        <v>41185</v>
      </c>
      <c r="B281" s="6">
        <v>120.203354</v>
      </c>
      <c r="C281" s="6">
        <v>15.43</v>
      </c>
    </row>
    <row r="282" spans="1:3" x14ac:dyDescent="0.25">
      <c r="A282" s="5">
        <v>41186</v>
      </c>
      <c r="B282" s="6">
        <v>121.064972</v>
      </c>
      <c r="C282" s="6">
        <v>14.55</v>
      </c>
    </row>
    <row r="283" spans="1:3" x14ac:dyDescent="0.25">
      <c r="A283" s="5">
        <v>41187</v>
      </c>
      <c r="B283" s="6">
        <v>121.073196</v>
      </c>
      <c r="C283" s="6">
        <v>14.33</v>
      </c>
    </row>
    <row r="284" spans="1:3" x14ac:dyDescent="0.25">
      <c r="A284" s="5">
        <v>41190</v>
      </c>
      <c r="B284" s="6">
        <v>120.659012</v>
      </c>
      <c r="C284" s="6">
        <v>15.11</v>
      </c>
    </row>
    <row r="285" spans="1:3" x14ac:dyDescent="0.25">
      <c r="A285" s="5">
        <v>41191</v>
      </c>
      <c r="B285" s="6">
        <v>119.466026</v>
      </c>
      <c r="C285" s="6">
        <v>16.370000999999998</v>
      </c>
    </row>
    <row r="286" spans="1:3" x14ac:dyDescent="0.25">
      <c r="A286" s="5">
        <v>41192</v>
      </c>
      <c r="B286" s="6">
        <v>118.70378100000001</v>
      </c>
      <c r="C286" s="6">
        <v>16.290001</v>
      </c>
    </row>
    <row r="287" spans="1:3" x14ac:dyDescent="0.25">
      <c r="A287" s="5">
        <v>41193</v>
      </c>
      <c r="B287" s="6">
        <v>118.770088</v>
      </c>
      <c r="C287" s="6">
        <v>15.59</v>
      </c>
    </row>
    <row r="288" spans="1:3" x14ac:dyDescent="0.25">
      <c r="A288" s="5">
        <v>41194</v>
      </c>
      <c r="B288" s="6">
        <v>118.380661</v>
      </c>
      <c r="C288" s="6">
        <v>16.139999</v>
      </c>
    </row>
    <row r="289" spans="1:3" x14ac:dyDescent="0.25">
      <c r="A289" s="5">
        <v>41197</v>
      </c>
      <c r="B289" s="6">
        <v>119.366615</v>
      </c>
      <c r="C289" s="6">
        <v>15.27</v>
      </c>
    </row>
    <row r="290" spans="1:3" x14ac:dyDescent="0.25">
      <c r="A290" s="5">
        <v>41198</v>
      </c>
      <c r="B290" s="6">
        <v>120.576172</v>
      </c>
      <c r="C290" s="6">
        <v>15.22</v>
      </c>
    </row>
    <row r="291" spans="1:3" x14ac:dyDescent="0.25">
      <c r="A291" s="5">
        <v>41199</v>
      </c>
      <c r="B291" s="6">
        <v>121.12297100000001</v>
      </c>
      <c r="C291" s="6">
        <v>15.07</v>
      </c>
    </row>
    <row r="292" spans="1:3" x14ac:dyDescent="0.25">
      <c r="A292" s="5">
        <v>41200</v>
      </c>
      <c r="B292" s="6">
        <v>120.808136</v>
      </c>
      <c r="C292" s="6">
        <v>15.03</v>
      </c>
    </row>
    <row r="293" spans="1:3" x14ac:dyDescent="0.25">
      <c r="A293" s="5">
        <v>41201</v>
      </c>
      <c r="B293" s="6">
        <v>118.794922</v>
      </c>
      <c r="C293" s="6">
        <v>17.059999000000001</v>
      </c>
    </row>
    <row r="294" spans="1:3" x14ac:dyDescent="0.25">
      <c r="A294" s="5">
        <v>41204</v>
      </c>
      <c r="B294" s="6">
        <v>118.811485</v>
      </c>
      <c r="C294" s="6">
        <v>16.620000999999998</v>
      </c>
    </row>
    <row r="295" spans="1:3" x14ac:dyDescent="0.25">
      <c r="A295" s="5">
        <v>41205</v>
      </c>
      <c r="B295" s="6">
        <v>117.162857</v>
      </c>
      <c r="C295" s="6">
        <v>18.829999999999998</v>
      </c>
    </row>
    <row r="296" spans="1:3" x14ac:dyDescent="0.25">
      <c r="A296" s="19">
        <v>41206</v>
      </c>
      <c r="B296" s="20">
        <v>116.831459</v>
      </c>
      <c r="C296" s="20">
        <v>18.329999999999998</v>
      </c>
    </row>
    <row r="297" spans="1:3" x14ac:dyDescent="0.25">
      <c r="A297" s="5">
        <v>41207</v>
      </c>
      <c r="B297" s="6">
        <v>117.171097</v>
      </c>
      <c r="C297" s="6">
        <v>18.120000999999998</v>
      </c>
    </row>
    <row r="298" spans="1:3" x14ac:dyDescent="0.25">
      <c r="A298" s="5">
        <v>41208</v>
      </c>
      <c r="B298" s="6">
        <v>117.10483600000001</v>
      </c>
      <c r="C298" s="6">
        <v>17.809999000000001</v>
      </c>
    </row>
    <row r="299" spans="1:3" x14ac:dyDescent="0.25">
      <c r="A299" s="5">
        <v>41213</v>
      </c>
      <c r="B299" s="6">
        <v>117.10483600000001</v>
      </c>
      <c r="C299" s="6">
        <v>18.600000000000001</v>
      </c>
    </row>
    <row r="300" spans="1:3" x14ac:dyDescent="0.25">
      <c r="A300" s="5">
        <v>41214</v>
      </c>
      <c r="B300" s="6">
        <v>118.33097100000001</v>
      </c>
      <c r="C300" s="6">
        <v>16.690000999999999</v>
      </c>
    </row>
    <row r="301" spans="1:3" x14ac:dyDescent="0.25">
      <c r="A301" s="5">
        <v>41215</v>
      </c>
      <c r="B301" s="6">
        <v>117.278824</v>
      </c>
      <c r="C301" s="6">
        <v>17.59</v>
      </c>
    </row>
    <row r="302" spans="1:3" x14ac:dyDescent="0.25">
      <c r="A302" s="5">
        <v>41218</v>
      </c>
      <c r="B302" s="6">
        <v>117.519104</v>
      </c>
      <c r="C302" s="6">
        <v>18.420000000000002</v>
      </c>
    </row>
    <row r="303" spans="1:3" x14ac:dyDescent="0.25">
      <c r="A303" s="5">
        <v>41219</v>
      </c>
      <c r="B303" s="6">
        <v>118.438683</v>
      </c>
      <c r="C303" s="6">
        <v>17.579999999999998</v>
      </c>
    </row>
    <row r="304" spans="1:3" x14ac:dyDescent="0.25">
      <c r="A304" s="5">
        <v>41220</v>
      </c>
      <c r="B304" s="6">
        <v>115.754456</v>
      </c>
      <c r="C304" s="6">
        <v>19.079999999999998</v>
      </c>
    </row>
    <row r="305" spans="1:3" x14ac:dyDescent="0.25">
      <c r="A305" s="5">
        <v>41221</v>
      </c>
      <c r="B305" s="6">
        <v>114.362602</v>
      </c>
      <c r="C305" s="6">
        <v>18.489999999999998</v>
      </c>
    </row>
    <row r="306" spans="1:3" x14ac:dyDescent="0.25">
      <c r="A306" s="5">
        <v>41222</v>
      </c>
      <c r="B306" s="6">
        <v>114.46199799999999</v>
      </c>
      <c r="C306" s="6">
        <v>18.610001</v>
      </c>
    </row>
    <row r="307" spans="1:3" x14ac:dyDescent="0.25">
      <c r="A307" s="5">
        <v>41225</v>
      </c>
      <c r="B307" s="6">
        <v>114.55313099999999</v>
      </c>
      <c r="C307" s="6">
        <v>16.68</v>
      </c>
    </row>
    <row r="308" spans="1:3" x14ac:dyDescent="0.25">
      <c r="A308" s="5">
        <v>41226</v>
      </c>
      <c r="B308" s="6">
        <v>114.155502</v>
      </c>
      <c r="C308" s="6">
        <v>16.649999999999999</v>
      </c>
    </row>
    <row r="309" spans="1:3" x14ac:dyDescent="0.25">
      <c r="A309" s="5">
        <v>41227</v>
      </c>
      <c r="B309" s="6">
        <v>112.61451</v>
      </c>
      <c r="C309" s="6">
        <v>17.920000000000002</v>
      </c>
    </row>
    <row r="310" spans="1:3" x14ac:dyDescent="0.25">
      <c r="A310" s="5">
        <v>41228</v>
      </c>
      <c r="B310" s="6">
        <v>112.423965</v>
      </c>
      <c r="C310" s="6">
        <v>17.989999999999998</v>
      </c>
    </row>
    <row r="311" spans="1:3" x14ac:dyDescent="0.25">
      <c r="A311" s="5">
        <v>41229</v>
      </c>
      <c r="B311" s="6">
        <v>112.979073</v>
      </c>
      <c r="C311" s="6">
        <v>16.41</v>
      </c>
    </row>
    <row r="312" spans="1:3" x14ac:dyDescent="0.25">
      <c r="A312" s="5">
        <v>41232</v>
      </c>
      <c r="B312" s="6">
        <v>115.26565600000001</v>
      </c>
      <c r="C312" s="6">
        <v>15.24</v>
      </c>
    </row>
    <row r="313" spans="1:3" x14ac:dyDescent="0.25">
      <c r="A313" s="5">
        <v>41233</v>
      </c>
      <c r="B313" s="6">
        <v>115.315338</v>
      </c>
      <c r="C313" s="6">
        <v>15.08</v>
      </c>
    </row>
    <row r="314" spans="1:3" x14ac:dyDescent="0.25">
      <c r="A314" s="5">
        <v>41234</v>
      </c>
      <c r="B314" s="6">
        <v>115.530716</v>
      </c>
      <c r="C314" s="6">
        <v>15.31</v>
      </c>
    </row>
    <row r="315" spans="1:3" x14ac:dyDescent="0.25">
      <c r="A315" s="5">
        <v>41236</v>
      </c>
      <c r="B315" s="6">
        <v>117.10483600000001</v>
      </c>
      <c r="C315" s="6">
        <v>15.14</v>
      </c>
    </row>
    <row r="316" spans="1:3" x14ac:dyDescent="0.25">
      <c r="A316" s="5">
        <v>41239</v>
      </c>
      <c r="B316" s="6">
        <v>116.8563</v>
      </c>
      <c r="C316" s="6">
        <v>15.5</v>
      </c>
    </row>
    <row r="317" spans="1:3" x14ac:dyDescent="0.25">
      <c r="A317" s="5">
        <v>41240</v>
      </c>
      <c r="B317" s="6">
        <v>116.259789</v>
      </c>
      <c r="C317" s="6">
        <v>15.92</v>
      </c>
    </row>
    <row r="318" spans="1:3" x14ac:dyDescent="0.25">
      <c r="A318" s="5">
        <v>41241</v>
      </c>
      <c r="B318" s="6">
        <v>117.19596900000001</v>
      </c>
      <c r="C318" s="6">
        <v>15.51</v>
      </c>
    </row>
    <row r="319" spans="1:3" x14ac:dyDescent="0.25">
      <c r="A319" s="5">
        <v>41242</v>
      </c>
      <c r="B319" s="6">
        <v>117.74276</v>
      </c>
      <c r="C319" s="6">
        <v>15.06</v>
      </c>
    </row>
    <row r="320" spans="1:3" x14ac:dyDescent="0.25">
      <c r="A320" s="5">
        <v>41243</v>
      </c>
      <c r="B320" s="6">
        <v>117.767639</v>
      </c>
      <c r="C320" s="6">
        <v>15.87</v>
      </c>
    </row>
    <row r="321" spans="1:3" x14ac:dyDescent="0.25">
      <c r="A321" s="5">
        <v>41246</v>
      </c>
      <c r="B321" s="6">
        <v>117.187714</v>
      </c>
      <c r="C321" s="6">
        <v>16.639999</v>
      </c>
    </row>
    <row r="322" spans="1:3" x14ac:dyDescent="0.25">
      <c r="A322" s="5">
        <v>41247</v>
      </c>
      <c r="B322" s="6">
        <v>117.02198799999999</v>
      </c>
      <c r="C322" s="6">
        <v>17.120000999999998</v>
      </c>
    </row>
    <row r="323" spans="1:3" x14ac:dyDescent="0.25">
      <c r="A323" s="5">
        <v>41248</v>
      </c>
      <c r="B323" s="6">
        <v>117.229111</v>
      </c>
      <c r="C323" s="6">
        <v>16.459999</v>
      </c>
    </row>
    <row r="324" spans="1:3" x14ac:dyDescent="0.25">
      <c r="A324" s="5">
        <v>41249</v>
      </c>
      <c r="B324" s="6">
        <v>117.626785</v>
      </c>
      <c r="C324" s="6">
        <v>16.579999999999998</v>
      </c>
    </row>
    <row r="325" spans="1:3" x14ac:dyDescent="0.25">
      <c r="A325" s="5">
        <v>41250</v>
      </c>
      <c r="B325" s="6">
        <v>117.983009</v>
      </c>
      <c r="C325" s="6">
        <v>15.9</v>
      </c>
    </row>
    <row r="326" spans="1:3" x14ac:dyDescent="0.25">
      <c r="A326" s="5">
        <v>41253</v>
      </c>
      <c r="B326" s="6">
        <v>118.03273</v>
      </c>
      <c r="C326" s="6">
        <v>16.049999</v>
      </c>
    </row>
    <row r="327" spans="1:3" x14ac:dyDescent="0.25">
      <c r="A327" s="5">
        <v>41254</v>
      </c>
      <c r="B327" s="6">
        <v>118.836349</v>
      </c>
      <c r="C327" s="6">
        <v>15.57</v>
      </c>
    </row>
    <row r="328" spans="1:3" x14ac:dyDescent="0.25">
      <c r="A328" s="19">
        <v>41255</v>
      </c>
      <c r="B328" s="20">
        <v>118.894363</v>
      </c>
      <c r="C328" s="20">
        <v>15.95</v>
      </c>
    </row>
    <row r="329" spans="1:3" x14ac:dyDescent="0.25">
      <c r="A329" s="5">
        <v>41256</v>
      </c>
      <c r="B329" s="6">
        <v>118.16529800000001</v>
      </c>
      <c r="C329" s="6">
        <v>16.559999000000001</v>
      </c>
    </row>
    <row r="330" spans="1:3" x14ac:dyDescent="0.25">
      <c r="A330" s="5">
        <v>41257</v>
      </c>
      <c r="B330" s="6">
        <v>117.726204</v>
      </c>
      <c r="C330" s="6">
        <v>17</v>
      </c>
    </row>
    <row r="331" spans="1:3" x14ac:dyDescent="0.25">
      <c r="A331" s="5">
        <v>41260</v>
      </c>
      <c r="B331" s="6">
        <v>119.109756</v>
      </c>
      <c r="C331" s="6">
        <v>16.34</v>
      </c>
    </row>
    <row r="332" spans="1:3" x14ac:dyDescent="0.25">
      <c r="A332" s="5">
        <v>41261</v>
      </c>
      <c r="B332" s="6">
        <v>120.43531</v>
      </c>
      <c r="C332" s="6">
        <v>15.57</v>
      </c>
    </row>
    <row r="333" spans="1:3" x14ac:dyDescent="0.25">
      <c r="A333" s="5">
        <v>41262</v>
      </c>
      <c r="B333" s="6">
        <v>119.540527</v>
      </c>
      <c r="C333" s="6">
        <v>17.360001</v>
      </c>
    </row>
    <row r="334" spans="1:3" x14ac:dyDescent="0.25">
      <c r="A334" s="5">
        <v>41263</v>
      </c>
      <c r="B334" s="6">
        <v>120.22817999999999</v>
      </c>
      <c r="C334" s="6">
        <v>17.670000000000002</v>
      </c>
    </row>
    <row r="335" spans="1:3" x14ac:dyDescent="0.25">
      <c r="A335" s="5">
        <v>41264</v>
      </c>
      <c r="B335" s="6">
        <v>119.136848</v>
      </c>
      <c r="C335" s="6">
        <v>17.84</v>
      </c>
    </row>
    <row r="336" spans="1:3" x14ac:dyDescent="0.25">
      <c r="A336" s="5">
        <v>41267</v>
      </c>
      <c r="B336" s="6">
        <v>118.769775</v>
      </c>
      <c r="C336" s="6">
        <v>17.84</v>
      </c>
    </row>
    <row r="337" spans="1:3" x14ac:dyDescent="0.25">
      <c r="A337" s="5">
        <v>41269</v>
      </c>
      <c r="B337" s="6">
        <v>118.26917299999999</v>
      </c>
      <c r="C337" s="6">
        <v>19.48</v>
      </c>
    </row>
    <row r="338" spans="1:3" x14ac:dyDescent="0.25">
      <c r="A338" s="5">
        <v>41270</v>
      </c>
      <c r="B338" s="6">
        <v>118.110619</v>
      </c>
      <c r="C338" s="6">
        <v>19.469999000000001</v>
      </c>
    </row>
    <row r="339" spans="1:3" x14ac:dyDescent="0.25">
      <c r="A339" s="5">
        <v>41271</v>
      </c>
      <c r="B339" s="6">
        <v>116.83401499999999</v>
      </c>
      <c r="C339" s="6">
        <v>22.719999000000001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042B-9283-42F5-8A8F-30D4A9E33237}">
  <dimension ref="A1:U32"/>
  <sheetViews>
    <sheetView topLeftCell="A12" workbookViewId="0">
      <selection activeCell="C33" sqref="C33"/>
    </sheetView>
  </sheetViews>
  <sheetFormatPr defaultRowHeight="15" x14ac:dyDescent="0.25"/>
  <cols>
    <col min="1" max="1" width="13.7109375" bestFit="1" customWidth="1"/>
    <col min="2" max="2" width="8.85546875" bestFit="1" customWidth="1"/>
    <col min="3" max="3" width="47.28515625" bestFit="1" customWidth="1"/>
    <col min="4" max="4" width="10.42578125" bestFit="1" customWidth="1"/>
    <col min="5" max="5" width="4" bestFit="1" customWidth="1"/>
    <col min="7" max="7" width="10.7109375" bestFit="1" customWidth="1"/>
    <col min="8" max="9" width="19.5703125" customWidth="1"/>
    <col min="10" max="10" width="5.140625" bestFit="1" customWidth="1"/>
    <col min="11" max="11" width="10.7109375" bestFit="1" customWidth="1"/>
    <col min="12" max="12" width="5.140625" bestFit="1" customWidth="1"/>
    <col min="13" max="13" width="10.140625" bestFit="1" customWidth="1"/>
    <col min="14" max="14" width="10.42578125" bestFit="1" customWidth="1"/>
    <col min="15" max="15" width="10.7109375" bestFit="1" customWidth="1"/>
    <col min="16" max="16" width="8.5703125" bestFit="1" customWidth="1"/>
    <col min="17" max="17" width="6.7109375" bestFit="1" customWidth="1"/>
    <col min="18" max="18" width="15.28515625" bestFit="1" customWidth="1"/>
    <col min="19" max="19" width="8.7109375" bestFit="1" customWidth="1"/>
    <col min="20" max="20" width="10.42578125" bestFit="1" customWidth="1"/>
    <col min="21" max="21" width="6.7109375" bestFit="1" customWidth="1"/>
  </cols>
  <sheetData>
    <row r="1" spans="1:3" ht="27" thickBot="1" x14ac:dyDescent="0.3">
      <c r="A1" s="1">
        <v>4</v>
      </c>
      <c r="B1" s="4" t="s">
        <v>1</v>
      </c>
      <c r="C1" s="4" t="s">
        <v>3</v>
      </c>
    </row>
    <row r="5" spans="1:3" x14ac:dyDescent="0.25">
      <c r="C5" s="3" t="s">
        <v>50</v>
      </c>
    </row>
    <row r="6" spans="1:3" x14ac:dyDescent="0.25">
      <c r="C6" s="3" t="s">
        <v>51</v>
      </c>
    </row>
    <row r="7" spans="1:3" x14ac:dyDescent="0.25">
      <c r="C7" s="3" t="s">
        <v>52</v>
      </c>
    </row>
    <row r="8" spans="1:3" x14ac:dyDescent="0.25">
      <c r="C8" s="3" t="s">
        <v>53</v>
      </c>
    </row>
    <row r="9" spans="1:3" x14ac:dyDescent="0.25">
      <c r="C9" s="3" t="s">
        <v>54</v>
      </c>
    </row>
    <row r="10" spans="1:3" x14ac:dyDescent="0.25">
      <c r="C10" s="3" t="s">
        <v>55</v>
      </c>
    </row>
    <row r="13" spans="1:3" x14ac:dyDescent="0.25">
      <c r="C13" s="3" t="s">
        <v>174</v>
      </c>
    </row>
    <row r="14" spans="1:3" x14ac:dyDescent="0.25">
      <c r="C14" s="21" t="s">
        <v>175</v>
      </c>
    </row>
    <row r="16" spans="1:3" x14ac:dyDescent="0.25">
      <c r="A16" t="s">
        <v>140</v>
      </c>
    </row>
    <row r="17" spans="1:21" x14ac:dyDescent="0.25">
      <c r="A17" t="s">
        <v>124</v>
      </c>
      <c r="D17" t="s">
        <v>37</v>
      </c>
      <c r="G17" t="s">
        <v>37</v>
      </c>
      <c r="K17" t="s">
        <v>38</v>
      </c>
    </row>
    <row r="18" spans="1:21" x14ac:dyDescent="0.25">
      <c r="A18" t="s">
        <v>25</v>
      </c>
      <c r="B18" t="s">
        <v>121</v>
      </c>
      <c r="C18" t="s">
        <v>120</v>
      </c>
      <c r="D18" t="s">
        <v>125</v>
      </c>
      <c r="E18" t="s">
        <v>4</v>
      </c>
      <c r="F18" t="s">
        <v>144</v>
      </c>
      <c r="G18" t="s">
        <v>26</v>
      </c>
      <c r="H18" t="s">
        <v>176</v>
      </c>
      <c r="I18" t="s">
        <v>177</v>
      </c>
      <c r="J18" t="s">
        <v>126</v>
      </c>
      <c r="K18" t="s">
        <v>88</v>
      </c>
      <c r="L18" t="s">
        <v>126</v>
      </c>
      <c r="M18" t="s">
        <v>141</v>
      </c>
      <c r="N18" t="s">
        <v>125</v>
      </c>
      <c r="O18" t="s">
        <v>142</v>
      </c>
      <c r="P18" t="s">
        <v>104</v>
      </c>
      <c r="Q18" t="s">
        <v>65</v>
      </c>
      <c r="R18" t="s">
        <v>122</v>
      </c>
      <c r="S18" t="s">
        <v>169</v>
      </c>
      <c r="T18" t="s">
        <v>170</v>
      </c>
      <c r="U18" t="s">
        <v>127</v>
      </c>
    </row>
    <row r="19" spans="1:21" x14ac:dyDescent="0.25">
      <c r="A19" t="s">
        <v>160</v>
      </c>
      <c r="B19" t="s">
        <v>116</v>
      </c>
      <c r="C19" t="s">
        <v>137</v>
      </c>
      <c r="D19" s="16">
        <v>123.93</v>
      </c>
      <c r="E19" s="16">
        <v>129</v>
      </c>
      <c r="F19" s="16">
        <v>0.92</v>
      </c>
      <c r="G19" s="19">
        <v>40897</v>
      </c>
      <c r="H19" s="22">
        <v>45.632300000000001</v>
      </c>
      <c r="I19" s="22" t="s">
        <v>178</v>
      </c>
      <c r="J19" s="12">
        <v>0.39583333333333331</v>
      </c>
      <c r="K19" s="17">
        <v>40929</v>
      </c>
      <c r="L19" s="12">
        <v>0.39583333333333331</v>
      </c>
      <c r="M19">
        <f t="shared" ref="M19:M27" si="0">D19-F19</f>
        <v>123.01</v>
      </c>
      <c r="N19" s="18">
        <v>131.54</v>
      </c>
      <c r="O19">
        <f t="shared" ref="O19:O27" si="1">E19+F19</f>
        <v>129.91999999999999</v>
      </c>
      <c r="P19" t="str">
        <f>IF(OR(N19&gt;O19,N19&lt;M19), "loss", "win")</f>
        <v>loss</v>
      </c>
      <c r="Q19" s="16">
        <v>599</v>
      </c>
      <c r="R19" t="str">
        <f>IF(T19&lt;0, "loss", "win")</f>
        <v>loss</v>
      </c>
      <c r="S19" s="9">
        <f t="shared" ref="S19:S27" si="2">(N19-D19)*100</f>
        <v>760.99999999999852</v>
      </c>
      <c r="T19" s="9">
        <f>Q19-S19</f>
        <v>-161.99999999999852</v>
      </c>
      <c r="U19" t="s">
        <v>36</v>
      </c>
    </row>
    <row r="20" spans="1:21" x14ac:dyDescent="0.25">
      <c r="A20" t="s">
        <v>161</v>
      </c>
      <c r="B20" t="s">
        <v>116</v>
      </c>
      <c r="C20" t="s">
        <v>137</v>
      </c>
      <c r="D20" s="16">
        <v>131.54</v>
      </c>
      <c r="E20" s="16">
        <v>135</v>
      </c>
      <c r="F20" s="16">
        <v>0.66500000000000004</v>
      </c>
      <c r="G20" s="19">
        <v>40929</v>
      </c>
      <c r="H20" s="22">
        <v>40.5565</v>
      </c>
      <c r="I20" s="22" t="s">
        <v>178</v>
      </c>
      <c r="J20" s="12">
        <v>0.39583333333333331</v>
      </c>
      <c r="K20" s="17">
        <v>40957</v>
      </c>
      <c r="L20" s="12">
        <v>0.39583333333333331</v>
      </c>
      <c r="M20">
        <f t="shared" si="0"/>
        <v>130.875</v>
      </c>
      <c r="N20" s="18">
        <v>136.41</v>
      </c>
      <c r="O20">
        <f t="shared" si="1"/>
        <v>135.66499999999999</v>
      </c>
      <c r="P20" t="str">
        <f t="shared" ref="P20:P27" si="3">IF(OR(N20&gt;O20,N20&lt;M20), "loss", "win")</f>
        <v>loss</v>
      </c>
      <c r="Q20" s="16">
        <v>412.5</v>
      </c>
      <c r="R20" t="str">
        <f t="shared" ref="R20:R27" si="4">IF(T20&lt;0, "loss", "win")</f>
        <v>loss</v>
      </c>
      <c r="S20" s="9">
        <f t="shared" si="2"/>
        <v>487.00000000000045</v>
      </c>
      <c r="T20" s="9">
        <f t="shared" ref="T20:T27" si="5">Q20-S20</f>
        <v>-74.500000000000455</v>
      </c>
      <c r="U20" t="s">
        <v>36</v>
      </c>
    </row>
    <row r="21" spans="1:21" x14ac:dyDescent="0.25">
      <c r="A21" t="s">
        <v>162</v>
      </c>
      <c r="B21" t="s">
        <v>116</v>
      </c>
      <c r="C21" t="s">
        <v>137</v>
      </c>
      <c r="D21" s="16">
        <v>136.41</v>
      </c>
      <c r="E21" s="16">
        <v>140</v>
      </c>
      <c r="F21" s="16">
        <v>0.61</v>
      </c>
      <c r="G21" s="19">
        <v>40957</v>
      </c>
      <c r="H21" s="22">
        <v>49.697400000000002</v>
      </c>
      <c r="I21" s="22" t="s">
        <v>178</v>
      </c>
      <c r="J21" s="12">
        <v>0.39583333333333331</v>
      </c>
      <c r="K21" s="17">
        <v>40980</v>
      </c>
      <c r="L21" s="12">
        <v>0.39583333333333331</v>
      </c>
      <c r="M21">
        <f t="shared" si="0"/>
        <v>135.79999999999998</v>
      </c>
      <c r="N21" s="18">
        <v>137.58000000000001</v>
      </c>
      <c r="O21">
        <f t="shared" si="1"/>
        <v>140.61000000000001</v>
      </c>
      <c r="P21" t="str">
        <f t="shared" si="3"/>
        <v>win</v>
      </c>
      <c r="Q21" s="16">
        <v>171</v>
      </c>
      <c r="R21" t="str">
        <f t="shared" si="4"/>
        <v>win</v>
      </c>
      <c r="S21" s="9">
        <f t="shared" si="2"/>
        <v>117.00000000000159</v>
      </c>
      <c r="T21" s="9">
        <f t="shared" si="5"/>
        <v>53.999999999998408</v>
      </c>
      <c r="U21" t="s">
        <v>36</v>
      </c>
    </row>
    <row r="22" spans="1:21" x14ac:dyDescent="0.25">
      <c r="A22" t="s">
        <v>163</v>
      </c>
      <c r="B22" t="s">
        <v>116</v>
      </c>
      <c r="C22" t="s">
        <v>137</v>
      </c>
      <c r="D22" s="16">
        <v>140.85</v>
      </c>
      <c r="E22" s="16">
        <v>144</v>
      </c>
      <c r="F22" s="16">
        <v>0.92</v>
      </c>
      <c r="G22" s="19">
        <v>40987</v>
      </c>
      <c r="H22" s="22">
        <v>35.6417</v>
      </c>
      <c r="I22" s="22" t="s">
        <v>179</v>
      </c>
      <c r="J22" s="12">
        <v>0.39583333333333331</v>
      </c>
      <c r="K22" s="17">
        <v>41020</v>
      </c>
      <c r="L22" s="12">
        <v>0.39583333333333331</v>
      </c>
      <c r="M22">
        <f t="shared" si="0"/>
        <v>139.93</v>
      </c>
      <c r="N22" s="18">
        <v>137.94999999999999</v>
      </c>
      <c r="O22">
        <f t="shared" si="1"/>
        <v>144.91999999999999</v>
      </c>
      <c r="P22" t="str">
        <f t="shared" si="3"/>
        <v>loss</v>
      </c>
      <c r="Q22" s="16">
        <v>-214.5</v>
      </c>
      <c r="R22" t="str">
        <f t="shared" si="4"/>
        <v>win</v>
      </c>
      <c r="S22" s="9">
        <f t="shared" si="2"/>
        <v>-290.00000000000057</v>
      </c>
      <c r="T22" s="9">
        <f t="shared" si="5"/>
        <v>75.500000000000568</v>
      </c>
      <c r="U22" t="s">
        <v>36</v>
      </c>
    </row>
    <row r="23" spans="1:21" x14ac:dyDescent="0.25">
      <c r="A23" t="s">
        <v>164</v>
      </c>
      <c r="B23" t="s">
        <v>116</v>
      </c>
      <c r="C23" t="s">
        <v>137</v>
      </c>
      <c r="D23" s="16">
        <v>140.74</v>
      </c>
      <c r="E23" s="16">
        <v>145</v>
      </c>
      <c r="F23" s="16">
        <v>0.88500000000000001</v>
      </c>
      <c r="G23" s="19">
        <v>41030</v>
      </c>
      <c r="H23" s="22">
        <v>50.381399999999999</v>
      </c>
      <c r="I23" s="22" t="s">
        <v>178</v>
      </c>
      <c r="J23" s="12">
        <v>0.39583333333333331</v>
      </c>
      <c r="K23" s="17">
        <v>41075</v>
      </c>
      <c r="L23" s="12">
        <v>0.39583333333333331</v>
      </c>
      <c r="M23">
        <f t="shared" si="0"/>
        <v>139.85500000000002</v>
      </c>
      <c r="N23" s="18">
        <v>134.13999999999999</v>
      </c>
      <c r="O23">
        <f t="shared" si="1"/>
        <v>145.88499999999999</v>
      </c>
      <c r="P23" t="str">
        <f t="shared" si="3"/>
        <v>loss</v>
      </c>
      <c r="Q23" s="16">
        <v>-572</v>
      </c>
      <c r="R23" t="str">
        <f t="shared" si="4"/>
        <v>win</v>
      </c>
      <c r="S23" s="9">
        <f t="shared" si="2"/>
        <v>-660.00000000000227</v>
      </c>
      <c r="T23" s="9">
        <f t="shared" si="5"/>
        <v>88.000000000002274</v>
      </c>
      <c r="U23" t="s">
        <v>36</v>
      </c>
    </row>
    <row r="24" spans="1:21" x14ac:dyDescent="0.25">
      <c r="A24" t="s">
        <v>165</v>
      </c>
      <c r="B24" t="s">
        <v>116</v>
      </c>
      <c r="C24" t="s">
        <v>137</v>
      </c>
      <c r="D24" s="16">
        <v>132.44</v>
      </c>
      <c r="E24" s="16">
        <v>137</v>
      </c>
      <c r="F24" s="16">
        <v>0.69499999999999995</v>
      </c>
      <c r="G24" s="19">
        <v>41081</v>
      </c>
      <c r="H24" s="22">
        <v>42.496899999999997</v>
      </c>
      <c r="I24" s="22" t="s">
        <v>178</v>
      </c>
      <c r="J24" s="12">
        <v>0.39583333333333331</v>
      </c>
      <c r="K24" s="17">
        <v>41111</v>
      </c>
      <c r="L24" s="12">
        <v>0.39583333333333331</v>
      </c>
      <c r="M24">
        <f t="shared" si="0"/>
        <v>131.745</v>
      </c>
      <c r="N24" s="18">
        <v>136.47</v>
      </c>
      <c r="O24">
        <f t="shared" si="1"/>
        <v>137.69499999999999</v>
      </c>
      <c r="P24" t="str">
        <f t="shared" si="3"/>
        <v>win</v>
      </c>
      <c r="Q24" s="16">
        <v>472.5</v>
      </c>
      <c r="R24" t="str">
        <f t="shared" si="4"/>
        <v>win</v>
      </c>
      <c r="S24" s="9">
        <f t="shared" si="2"/>
        <v>403.00000000000011</v>
      </c>
      <c r="T24" s="9">
        <f t="shared" si="5"/>
        <v>69.499999999999886</v>
      </c>
      <c r="U24" t="s">
        <v>36</v>
      </c>
    </row>
    <row r="25" spans="1:21" x14ac:dyDescent="0.25">
      <c r="A25" t="s">
        <v>166</v>
      </c>
      <c r="B25" t="s">
        <v>116</v>
      </c>
      <c r="C25" t="s">
        <v>137</v>
      </c>
      <c r="D25" s="16">
        <v>140.32</v>
      </c>
      <c r="E25" s="16">
        <v>145</v>
      </c>
      <c r="F25" s="16">
        <v>0.84</v>
      </c>
      <c r="G25" s="19">
        <v>41128</v>
      </c>
      <c r="H25" s="22">
        <v>44.868400000000001</v>
      </c>
      <c r="I25" s="22" t="s">
        <v>178</v>
      </c>
      <c r="J25" s="12">
        <v>0.39583333333333331</v>
      </c>
      <c r="K25" s="17">
        <v>41164</v>
      </c>
      <c r="L25" s="12">
        <v>0.39583333333333331</v>
      </c>
      <c r="M25">
        <f t="shared" si="0"/>
        <v>139.47999999999999</v>
      </c>
      <c r="N25" s="18">
        <v>144.38999999999999</v>
      </c>
      <c r="O25">
        <f t="shared" si="1"/>
        <v>145.84</v>
      </c>
      <c r="P25" t="str">
        <f t="shared" si="3"/>
        <v>win</v>
      </c>
      <c r="Q25" s="16">
        <v>397</v>
      </c>
      <c r="R25" t="str">
        <f t="shared" si="4"/>
        <v>loss</v>
      </c>
      <c r="S25" s="9">
        <f t="shared" si="2"/>
        <v>406.99999999999932</v>
      </c>
      <c r="T25" s="9">
        <f t="shared" si="5"/>
        <v>-9.9999999999993179</v>
      </c>
      <c r="U25" t="s">
        <v>36</v>
      </c>
    </row>
    <row r="26" spans="1:21" x14ac:dyDescent="0.25">
      <c r="A26" t="s">
        <v>167</v>
      </c>
      <c r="B26" t="s">
        <v>116</v>
      </c>
      <c r="C26" t="s">
        <v>137</v>
      </c>
      <c r="D26" s="16">
        <v>145.64500000000001</v>
      </c>
      <c r="E26" s="16">
        <v>149</v>
      </c>
      <c r="F26" s="16">
        <v>0.435</v>
      </c>
      <c r="G26" s="19">
        <v>41176</v>
      </c>
      <c r="H26" s="22">
        <v>30.069400000000002</v>
      </c>
      <c r="I26" s="22" t="s">
        <v>179</v>
      </c>
      <c r="J26" s="12">
        <v>0.39583333333333331</v>
      </c>
      <c r="K26" s="17">
        <v>41202</v>
      </c>
      <c r="L26" s="12">
        <v>0.39583333333333331</v>
      </c>
      <c r="M26">
        <f t="shared" si="0"/>
        <v>145.21</v>
      </c>
      <c r="N26" s="18">
        <v>145.82</v>
      </c>
      <c r="O26">
        <f t="shared" si="1"/>
        <v>149.435</v>
      </c>
      <c r="P26" t="str">
        <f t="shared" si="3"/>
        <v>win</v>
      </c>
      <c r="Q26" s="16">
        <v>61</v>
      </c>
      <c r="R26" t="str">
        <f t="shared" si="4"/>
        <v>win</v>
      </c>
      <c r="S26" s="9">
        <f t="shared" si="2"/>
        <v>17.499999999998295</v>
      </c>
      <c r="T26" s="9">
        <f t="shared" si="5"/>
        <v>43.500000000001705</v>
      </c>
      <c r="U26" t="s">
        <v>36</v>
      </c>
    </row>
    <row r="27" spans="1:21" x14ac:dyDescent="0.25">
      <c r="A27" t="s">
        <v>168</v>
      </c>
      <c r="B27" t="s">
        <v>116</v>
      </c>
      <c r="C27" t="s">
        <v>137</v>
      </c>
      <c r="D27" s="16">
        <v>142.96</v>
      </c>
      <c r="E27" s="16">
        <v>148</v>
      </c>
      <c r="F27" s="16">
        <v>0.9</v>
      </c>
      <c r="G27" s="19">
        <v>41219</v>
      </c>
      <c r="H27" s="22">
        <v>50.238900000000001</v>
      </c>
      <c r="I27" s="22" t="s">
        <v>178</v>
      </c>
      <c r="J27" s="12">
        <v>0.39583333333333331</v>
      </c>
      <c r="K27" s="17">
        <v>41255</v>
      </c>
      <c r="L27" s="12">
        <v>0.39583333333333331</v>
      </c>
      <c r="M27">
        <f t="shared" si="0"/>
        <v>142.06</v>
      </c>
      <c r="N27" s="18">
        <v>143.51</v>
      </c>
      <c r="O27">
        <f t="shared" si="1"/>
        <v>148.9</v>
      </c>
      <c r="P27" t="str">
        <f t="shared" si="3"/>
        <v>win</v>
      </c>
      <c r="Q27" s="16">
        <v>138</v>
      </c>
      <c r="R27" t="str">
        <f t="shared" si="4"/>
        <v>win</v>
      </c>
      <c r="S27" s="9">
        <f t="shared" si="2"/>
        <v>54.999999999998295</v>
      </c>
      <c r="T27" s="9">
        <f t="shared" si="5"/>
        <v>83.000000000001705</v>
      </c>
      <c r="U27" t="s">
        <v>36</v>
      </c>
    </row>
    <row r="32" spans="1:21" x14ac:dyDescent="0.25">
      <c r="C32" t="s">
        <v>194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BFD3-D26A-42D5-A35D-A3C31580B7B2}">
  <dimension ref="A1:AA37"/>
  <sheetViews>
    <sheetView topLeftCell="B6" workbookViewId="0">
      <selection activeCell="F21" sqref="F21:AA24"/>
    </sheetView>
  </sheetViews>
  <sheetFormatPr defaultRowHeight="15" x14ac:dyDescent="0.25"/>
  <cols>
    <col min="2" max="2" width="11.5703125" customWidth="1"/>
    <col min="12" max="12" width="10.85546875" customWidth="1"/>
    <col min="14" max="14" width="21.28515625" customWidth="1"/>
    <col min="17" max="17" width="10.42578125" customWidth="1"/>
  </cols>
  <sheetData>
    <row r="1" spans="1:6" ht="27" thickBot="1" x14ac:dyDescent="0.3">
      <c r="A1" s="1">
        <v>5</v>
      </c>
      <c r="B1" s="4" t="s">
        <v>1</v>
      </c>
      <c r="C1" s="4" t="s">
        <v>4</v>
      </c>
    </row>
    <row r="5" spans="1:6" x14ac:dyDescent="0.25">
      <c r="B5" s="3" t="s">
        <v>48</v>
      </c>
    </row>
    <row r="6" spans="1:6" x14ac:dyDescent="0.25">
      <c r="B6" s="3"/>
      <c r="F6" s="3" t="s">
        <v>174</v>
      </c>
    </row>
    <row r="7" spans="1:6" x14ac:dyDescent="0.25">
      <c r="B7" s="3" t="s">
        <v>49</v>
      </c>
      <c r="F7" s="21" t="s">
        <v>175</v>
      </c>
    </row>
    <row r="13" spans="1:6" x14ac:dyDescent="0.25">
      <c r="B13" t="s">
        <v>157</v>
      </c>
    </row>
    <row r="14" spans="1:6" x14ac:dyDescent="0.25">
      <c r="B14" t="s">
        <v>3</v>
      </c>
      <c r="C14" t="s">
        <v>15</v>
      </c>
    </row>
    <row r="15" spans="1:6" x14ac:dyDescent="0.25">
      <c r="B15" t="s">
        <v>2</v>
      </c>
      <c r="C15" t="s">
        <v>171</v>
      </c>
    </row>
    <row r="16" spans="1:6" x14ac:dyDescent="0.25">
      <c r="B16" t="s">
        <v>5</v>
      </c>
      <c r="C16" t="s">
        <v>16</v>
      </c>
    </row>
    <row r="17" spans="2:27" x14ac:dyDescent="0.25">
      <c r="B17" t="s">
        <v>4</v>
      </c>
      <c r="C17" t="s">
        <v>181</v>
      </c>
    </row>
    <row r="18" spans="2:27" x14ac:dyDescent="0.25">
      <c r="C18" t="s">
        <v>180</v>
      </c>
    </row>
    <row r="19" spans="2:27" x14ac:dyDescent="0.25">
      <c r="C19" t="s">
        <v>182</v>
      </c>
    </row>
    <row r="21" spans="2:27" x14ac:dyDescent="0.25">
      <c r="B21" t="s">
        <v>158</v>
      </c>
      <c r="F21" t="s">
        <v>140</v>
      </c>
    </row>
    <row r="22" spans="2:27" x14ac:dyDescent="0.25">
      <c r="B22" s="5">
        <v>40933</v>
      </c>
      <c r="F22" t="s">
        <v>124</v>
      </c>
      <c r="I22" t="s">
        <v>37</v>
      </c>
      <c r="L22" t="s">
        <v>37</v>
      </c>
      <c r="Q22" t="s">
        <v>38</v>
      </c>
    </row>
    <row r="23" spans="2:27" x14ac:dyDescent="0.25">
      <c r="B23" s="5">
        <v>40981</v>
      </c>
      <c r="F23" t="s">
        <v>25</v>
      </c>
      <c r="G23" t="s">
        <v>121</v>
      </c>
      <c r="H23" t="s">
        <v>120</v>
      </c>
      <c r="I23" t="s">
        <v>125</v>
      </c>
      <c r="J23" t="s">
        <v>4</v>
      </c>
      <c r="K23" t="s">
        <v>144</v>
      </c>
      <c r="L23" t="s">
        <v>26</v>
      </c>
      <c r="M23" t="s">
        <v>176</v>
      </c>
      <c r="N23" t="s">
        <v>177</v>
      </c>
      <c r="O23" t="s">
        <v>183</v>
      </c>
      <c r="P23" t="s">
        <v>126</v>
      </c>
      <c r="Q23" t="s">
        <v>88</v>
      </c>
      <c r="R23" t="s">
        <v>126</v>
      </c>
      <c r="S23" t="s">
        <v>141</v>
      </c>
      <c r="T23" t="s">
        <v>125</v>
      </c>
      <c r="U23" t="s">
        <v>142</v>
      </c>
      <c r="V23" t="s">
        <v>104</v>
      </c>
      <c r="W23" t="s">
        <v>65</v>
      </c>
      <c r="X23" t="s">
        <v>122</v>
      </c>
      <c r="Y23" t="s">
        <v>169</v>
      </c>
      <c r="Z23" t="s">
        <v>170</v>
      </c>
      <c r="AA23" t="s">
        <v>127</v>
      </c>
    </row>
    <row r="24" spans="2:27" x14ac:dyDescent="0.25">
      <c r="B24" s="5">
        <v>41024</v>
      </c>
      <c r="F24">
        <v>1</v>
      </c>
      <c r="G24" t="s">
        <v>116</v>
      </c>
      <c r="H24" t="s">
        <v>137</v>
      </c>
      <c r="I24" s="16">
        <v>121.59</v>
      </c>
      <c r="J24" s="16">
        <v>129</v>
      </c>
      <c r="K24" s="16">
        <v>0.78500000000000003</v>
      </c>
      <c r="L24" s="19">
        <v>40893</v>
      </c>
      <c r="M24" s="22">
        <v>53.871600000000001</v>
      </c>
      <c r="N24" s="22" t="s">
        <v>178</v>
      </c>
      <c r="O24" s="22">
        <v>0.2</v>
      </c>
      <c r="P24" s="12">
        <v>0.39583333333333331</v>
      </c>
      <c r="Q24" s="17">
        <v>40929</v>
      </c>
      <c r="R24" s="12">
        <v>0.39583333333333331</v>
      </c>
      <c r="S24">
        <f t="shared" ref="S24:S31" si="0">I24-K24</f>
        <v>120.80500000000001</v>
      </c>
      <c r="T24" s="18">
        <v>131.54</v>
      </c>
      <c r="U24">
        <f t="shared" ref="U24:U31" si="1">J24+K24</f>
        <v>129.785</v>
      </c>
      <c r="V24" t="str">
        <f t="shared" ref="V24:V31" si="2">IF(OR(T24&gt;U24,T24&lt;S24), "loss", "win")</f>
        <v>loss</v>
      </c>
      <c r="W24" s="16">
        <v>719.5</v>
      </c>
      <c r="X24" t="str">
        <f t="shared" ref="X24:X31" si="3">IF(Z24&lt;0, "loss", "win")</f>
        <v>loss</v>
      </c>
      <c r="Y24" s="9">
        <f t="shared" ref="Y24:Y31" si="4">(T24-I24)*100</f>
        <v>994.99999999999886</v>
      </c>
      <c r="Z24" s="9">
        <f t="shared" ref="Z24:Z31" si="5">W24-Y24</f>
        <v>-275.49999999999886</v>
      </c>
      <c r="AA24" t="s">
        <v>36</v>
      </c>
    </row>
    <row r="25" spans="2:27" x14ac:dyDescent="0.25">
      <c r="B25" s="5">
        <v>41080</v>
      </c>
      <c r="F25">
        <v>2</v>
      </c>
      <c r="G25" t="s">
        <v>116</v>
      </c>
      <c r="H25" t="s">
        <v>137</v>
      </c>
      <c r="I25" s="16">
        <v>132.47</v>
      </c>
      <c r="J25" s="16">
        <v>138</v>
      </c>
      <c r="K25" s="16">
        <v>0.71</v>
      </c>
      <c r="L25" s="19">
        <v>40940</v>
      </c>
      <c r="M25" s="22">
        <v>48.5227</v>
      </c>
      <c r="N25" s="22" t="s">
        <v>178</v>
      </c>
      <c r="O25" s="22">
        <v>0.2</v>
      </c>
      <c r="P25" s="12">
        <v>0.39583333333333331</v>
      </c>
      <c r="Q25" s="17">
        <v>40980</v>
      </c>
      <c r="R25" s="12">
        <v>0.39583333333333331</v>
      </c>
      <c r="S25">
        <f t="shared" si="0"/>
        <v>131.76</v>
      </c>
      <c r="T25" s="18">
        <v>137.58000000000001</v>
      </c>
      <c r="U25">
        <f t="shared" si="1"/>
        <v>138.71</v>
      </c>
      <c r="V25" t="str">
        <f t="shared" si="2"/>
        <v>win</v>
      </c>
      <c r="W25" s="16">
        <v>531</v>
      </c>
      <c r="X25" t="str">
        <f t="shared" si="3"/>
        <v>win</v>
      </c>
      <c r="Y25" s="9">
        <f t="shared" si="4"/>
        <v>511.00000000000136</v>
      </c>
      <c r="Z25" s="9">
        <f t="shared" si="5"/>
        <v>19.999999999998636</v>
      </c>
      <c r="AA25" t="s">
        <v>36</v>
      </c>
    </row>
    <row r="26" spans="2:27" x14ac:dyDescent="0.25">
      <c r="B26" s="5">
        <v>41121</v>
      </c>
      <c r="F26">
        <v>3</v>
      </c>
      <c r="G26" t="s">
        <v>116</v>
      </c>
      <c r="H26" t="s">
        <v>137</v>
      </c>
      <c r="I26" s="16">
        <v>141.26</v>
      </c>
      <c r="J26" s="16">
        <v>143</v>
      </c>
      <c r="K26" s="16">
        <v>1.895</v>
      </c>
      <c r="L26" s="19">
        <v>41002</v>
      </c>
      <c r="M26" s="22">
        <v>59.670699999999997</v>
      </c>
      <c r="N26" s="22" t="s">
        <v>174</v>
      </c>
      <c r="O26" s="22">
        <v>0.4</v>
      </c>
      <c r="P26" s="12">
        <v>0.39583333333333331</v>
      </c>
      <c r="Q26" s="17">
        <v>41023</v>
      </c>
      <c r="R26" s="12">
        <v>0.39583333333333331</v>
      </c>
      <c r="S26">
        <f t="shared" si="0"/>
        <v>139.36499999999998</v>
      </c>
      <c r="T26" s="18">
        <v>137.31</v>
      </c>
      <c r="U26">
        <f t="shared" si="1"/>
        <v>144.89500000000001</v>
      </c>
      <c r="V26" t="str">
        <f t="shared" si="2"/>
        <v>loss</v>
      </c>
      <c r="W26" s="16">
        <v>-232.5</v>
      </c>
      <c r="X26" t="str">
        <f t="shared" si="3"/>
        <v>win</v>
      </c>
      <c r="Y26" s="9">
        <f t="shared" si="4"/>
        <v>-394.99999999999886</v>
      </c>
      <c r="Z26" s="9">
        <f t="shared" si="5"/>
        <v>162.49999999999886</v>
      </c>
      <c r="AA26" t="s">
        <v>36</v>
      </c>
    </row>
    <row r="27" spans="2:27" x14ac:dyDescent="0.25">
      <c r="B27" s="5">
        <v>41165</v>
      </c>
      <c r="F27">
        <v>4</v>
      </c>
      <c r="G27" t="s">
        <v>116</v>
      </c>
      <c r="H27" t="s">
        <v>137</v>
      </c>
      <c r="I27" s="16">
        <v>140.32499999999999</v>
      </c>
      <c r="J27" s="16">
        <v>145</v>
      </c>
      <c r="K27" s="16">
        <v>0.80500000000000005</v>
      </c>
      <c r="L27" s="19">
        <v>41031</v>
      </c>
      <c r="M27" s="22">
        <v>49.278799999999997</v>
      </c>
      <c r="N27" s="22" t="s">
        <v>178</v>
      </c>
      <c r="O27" s="22">
        <v>0.2</v>
      </c>
      <c r="P27" s="12">
        <v>0.39583333333333331</v>
      </c>
      <c r="Q27" s="17">
        <v>41074</v>
      </c>
      <c r="R27" s="12">
        <v>0.39583333333333331</v>
      </c>
      <c r="S27">
        <f t="shared" si="0"/>
        <v>139.51999999999998</v>
      </c>
      <c r="T27" s="18">
        <v>133.47</v>
      </c>
      <c r="U27">
        <f t="shared" si="1"/>
        <v>145.80500000000001</v>
      </c>
      <c r="V27" t="str">
        <f t="shared" si="2"/>
        <v>loss</v>
      </c>
      <c r="W27" s="16">
        <v>-605.5</v>
      </c>
      <c r="X27" t="str">
        <f t="shared" si="3"/>
        <v>win</v>
      </c>
      <c r="Y27" s="9">
        <f t="shared" si="4"/>
        <v>-685.49999999999898</v>
      </c>
      <c r="Z27" s="9">
        <f t="shared" si="5"/>
        <v>79.999999999998977</v>
      </c>
      <c r="AA27" t="s">
        <v>36</v>
      </c>
    </row>
    <row r="28" spans="2:27" x14ac:dyDescent="0.25">
      <c r="B28" s="5">
        <v>41206</v>
      </c>
      <c r="F28">
        <v>5</v>
      </c>
      <c r="G28" t="s">
        <v>116</v>
      </c>
      <c r="H28" t="s">
        <v>137</v>
      </c>
      <c r="I28" s="16">
        <v>132.44</v>
      </c>
      <c r="J28" s="16">
        <v>137</v>
      </c>
      <c r="K28" s="16">
        <v>0.69499999999999995</v>
      </c>
      <c r="L28" s="19">
        <v>41081</v>
      </c>
      <c r="M28" s="22">
        <v>42.49</v>
      </c>
      <c r="N28" s="22" t="s">
        <v>178</v>
      </c>
      <c r="O28" s="22">
        <v>0.2</v>
      </c>
      <c r="P28" s="12">
        <v>0.39583333333333331</v>
      </c>
      <c r="Q28" s="17">
        <v>41111</v>
      </c>
      <c r="R28" s="12">
        <v>0.39583333333333331</v>
      </c>
      <c r="S28">
        <f t="shared" si="0"/>
        <v>131.745</v>
      </c>
      <c r="T28" s="18">
        <v>136.47</v>
      </c>
      <c r="U28">
        <f t="shared" si="1"/>
        <v>137.69499999999999</v>
      </c>
      <c r="V28" t="str">
        <f t="shared" si="2"/>
        <v>win</v>
      </c>
      <c r="W28" s="16">
        <v>472.5</v>
      </c>
      <c r="X28" t="str">
        <f t="shared" si="3"/>
        <v>win</v>
      </c>
      <c r="Y28" s="9">
        <f t="shared" si="4"/>
        <v>403.00000000000011</v>
      </c>
      <c r="Z28" s="9">
        <f t="shared" si="5"/>
        <v>69.499999999999886</v>
      </c>
      <c r="AA28" t="s">
        <v>36</v>
      </c>
    </row>
    <row r="29" spans="2:27" x14ac:dyDescent="0.25">
      <c r="B29" s="5">
        <v>41255</v>
      </c>
      <c r="F29">
        <v>6</v>
      </c>
      <c r="G29" t="s">
        <v>116</v>
      </c>
      <c r="H29" t="s">
        <v>137</v>
      </c>
      <c r="I29" s="16">
        <v>140.32</v>
      </c>
      <c r="J29" s="16">
        <v>146</v>
      </c>
      <c r="K29" s="16">
        <v>0.61</v>
      </c>
      <c r="L29" s="19">
        <v>41128</v>
      </c>
      <c r="M29" s="22">
        <v>44.868400000000001</v>
      </c>
      <c r="N29" s="22" t="s">
        <v>178</v>
      </c>
      <c r="O29" s="22">
        <v>0.2</v>
      </c>
      <c r="P29" s="12">
        <v>0.39583333333333331</v>
      </c>
      <c r="Q29" s="17">
        <v>41164</v>
      </c>
      <c r="R29" s="12">
        <v>0.39583333333333331</v>
      </c>
      <c r="S29">
        <f t="shared" si="0"/>
        <v>139.70999999999998</v>
      </c>
      <c r="T29" s="18">
        <v>144.38999999999999</v>
      </c>
      <c r="U29">
        <f t="shared" si="1"/>
        <v>146.61000000000001</v>
      </c>
      <c r="V29" t="str">
        <f t="shared" si="2"/>
        <v>win</v>
      </c>
      <c r="W29" s="16">
        <v>415.5</v>
      </c>
      <c r="X29" t="str">
        <f t="shared" si="3"/>
        <v>win</v>
      </c>
      <c r="Y29" s="9">
        <f t="shared" si="4"/>
        <v>406.99999999999932</v>
      </c>
      <c r="Z29" s="9">
        <f t="shared" si="5"/>
        <v>8.5000000000006821</v>
      </c>
      <c r="AA29" t="s">
        <v>36</v>
      </c>
    </row>
    <row r="30" spans="2:27" x14ac:dyDescent="0.25">
      <c r="F30">
        <v>7</v>
      </c>
      <c r="G30" t="s">
        <v>116</v>
      </c>
      <c r="H30" t="s">
        <v>137</v>
      </c>
      <c r="I30" s="16">
        <v>144.5</v>
      </c>
      <c r="J30" s="16">
        <v>150</v>
      </c>
      <c r="K30" s="16">
        <v>0.62</v>
      </c>
      <c r="L30" s="19">
        <v>41184</v>
      </c>
      <c r="M30" s="22">
        <v>49.3</v>
      </c>
      <c r="N30" s="22" t="s">
        <v>178</v>
      </c>
      <c r="O30" s="22">
        <v>0.2</v>
      </c>
      <c r="P30" s="12">
        <v>0.39583333333333331</v>
      </c>
      <c r="Q30" s="17">
        <v>41205</v>
      </c>
      <c r="R30" s="12">
        <v>0.39583333333333331</v>
      </c>
      <c r="S30">
        <f t="shared" si="0"/>
        <v>143.88</v>
      </c>
      <c r="T30" s="18">
        <v>141.41999999999999</v>
      </c>
      <c r="U30">
        <f t="shared" si="1"/>
        <v>150.62</v>
      </c>
      <c r="V30" t="str">
        <f t="shared" si="2"/>
        <v>loss</v>
      </c>
      <c r="W30" s="16">
        <v>-256</v>
      </c>
      <c r="X30" t="str">
        <f t="shared" si="3"/>
        <v>win</v>
      </c>
      <c r="Y30" s="9">
        <f t="shared" si="4"/>
        <v>-308.00000000000125</v>
      </c>
      <c r="Z30" s="9">
        <f t="shared" si="5"/>
        <v>52.000000000001251</v>
      </c>
      <c r="AA30" t="s">
        <v>36</v>
      </c>
    </row>
    <row r="31" spans="2:27" x14ac:dyDescent="0.25">
      <c r="F31">
        <v>8</v>
      </c>
      <c r="G31" t="s">
        <v>116</v>
      </c>
      <c r="H31" t="s">
        <v>137</v>
      </c>
      <c r="I31" s="16">
        <v>142.96</v>
      </c>
      <c r="J31" s="16">
        <v>149</v>
      </c>
      <c r="K31" s="16">
        <v>0.66</v>
      </c>
      <c r="L31" s="19">
        <v>41219</v>
      </c>
      <c r="M31" s="22">
        <v>50.238900000000001</v>
      </c>
      <c r="N31" s="22" t="s">
        <v>178</v>
      </c>
      <c r="O31" s="22">
        <v>0.2</v>
      </c>
      <c r="P31" s="12">
        <v>0.39583333333333331</v>
      </c>
      <c r="Q31" s="17">
        <v>41254</v>
      </c>
      <c r="R31" s="12">
        <v>0.39583333333333331</v>
      </c>
      <c r="S31">
        <f t="shared" si="0"/>
        <v>142.30000000000001</v>
      </c>
      <c r="T31" s="18">
        <v>143.44</v>
      </c>
      <c r="U31">
        <f t="shared" si="1"/>
        <v>149.66</v>
      </c>
      <c r="V31" t="str">
        <f t="shared" si="2"/>
        <v>win</v>
      </c>
      <c r="W31" s="16">
        <v>108.5</v>
      </c>
      <c r="X31" t="str">
        <f t="shared" si="3"/>
        <v>win</v>
      </c>
      <c r="Y31" s="9">
        <f t="shared" si="4"/>
        <v>47.999999999998977</v>
      </c>
      <c r="Z31" s="9">
        <f t="shared" si="5"/>
        <v>60.500000000001023</v>
      </c>
      <c r="AA31" t="s">
        <v>36</v>
      </c>
    </row>
    <row r="32" spans="2:27" x14ac:dyDescent="0.25">
      <c r="B32" t="s">
        <v>159</v>
      </c>
    </row>
    <row r="33" spans="2:2" x14ac:dyDescent="0.25">
      <c r="B33" s="5">
        <v>40893</v>
      </c>
    </row>
    <row r="34" spans="2:2" x14ac:dyDescent="0.25">
      <c r="B34" s="5">
        <v>40984</v>
      </c>
    </row>
    <row r="35" spans="2:2" x14ac:dyDescent="0.25">
      <c r="B35" s="5">
        <v>41075</v>
      </c>
    </row>
    <row r="36" spans="2:2" x14ac:dyDescent="0.25">
      <c r="B36" s="5">
        <v>41173</v>
      </c>
    </row>
    <row r="37" spans="2:2" x14ac:dyDescent="0.25">
      <c r="B37" s="5">
        <v>41264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7CC4-8AAD-4CC0-8773-9916F9FDCA38}">
  <dimension ref="A1:Y39"/>
  <sheetViews>
    <sheetView topLeftCell="A21" workbookViewId="0">
      <selection activeCell="D44" sqref="D44"/>
    </sheetView>
  </sheetViews>
  <sheetFormatPr defaultRowHeight="15" x14ac:dyDescent="0.25"/>
  <cols>
    <col min="4" max="4" width="9.7109375" bestFit="1" customWidth="1"/>
    <col min="5" max="6" width="10.5703125" bestFit="1" customWidth="1"/>
    <col min="9" max="9" width="11" customWidth="1"/>
    <col min="11" max="11" width="16.28515625" customWidth="1"/>
    <col min="15" max="15" width="10.42578125" customWidth="1"/>
    <col min="17" max="19" width="9.28515625" bestFit="1" customWidth="1"/>
    <col min="21" max="21" width="10.28515625" bestFit="1" customWidth="1"/>
    <col min="23" max="23" width="10.42578125" bestFit="1" customWidth="1"/>
    <col min="24" max="24" width="10.42578125" customWidth="1"/>
  </cols>
  <sheetData>
    <row r="1" spans="1:11" ht="27" thickBot="1" x14ac:dyDescent="0.3">
      <c r="A1" s="1">
        <v>6</v>
      </c>
      <c r="B1" s="4" t="s">
        <v>1</v>
      </c>
      <c r="C1" s="4" t="s">
        <v>5</v>
      </c>
    </row>
    <row r="3" spans="1:11" x14ac:dyDescent="0.25">
      <c r="A3" t="s">
        <v>184</v>
      </c>
      <c r="B3" s="3" t="s">
        <v>41</v>
      </c>
    </row>
    <row r="4" spans="1:11" x14ac:dyDescent="0.25">
      <c r="B4" s="3" t="s">
        <v>42</v>
      </c>
    </row>
    <row r="5" spans="1:11" x14ac:dyDescent="0.25">
      <c r="B5" s="3" t="s">
        <v>43</v>
      </c>
    </row>
    <row r="6" spans="1:11" x14ac:dyDescent="0.25">
      <c r="B6" s="3" t="s">
        <v>44</v>
      </c>
    </row>
    <row r="7" spans="1:11" x14ac:dyDescent="0.25">
      <c r="B7" s="3" t="s">
        <v>45</v>
      </c>
    </row>
    <row r="8" spans="1:11" x14ac:dyDescent="0.25">
      <c r="B8" s="3" t="s">
        <v>46</v>
      </c>
    </row>
    <row r="9" spans="1:11" x14ac:dyDescent="0.25">
      <c r="B9" s="3" t="s">
        <v>47</v>
      </c>
    </row>
    <row r="10" spans="1:11" x14ac:dyDescent="0.25">
      <c r="K10" t="s">
        <v>186</v>
      </c>
    </row>
    <row r="11" spans="1:11" x14ac:dyDescent="0.25">
      <c r="K11" s="5">
        <v>40932</v>
      </c>
    </row>
    <row r="12" spans="1:11" x14ac:dyDescent="0.25">
      <c r="A12" t="s">
        <v>157</v>
      </c>
      <c r="K12" s="5">
        <v>41023</v>
      </c>
    </row>
    <row r="13" spans="1:11" x14ac:dyDescent="0.25">
      <c r="A13" t="s">
        <v>3</v>
      </c>
      <c r="B13" t="s">
        <v>184</v>
      </c>
      <c r="K13" s="5">
        <v>41114</v>
      </c>
    </row>
    <row r="14" spans="1:11" x14ac:dyDescent="0.25">
      <c r="A14" t="s">
        <v>2</v>
      </c>
      <c r="B14" t="s">
        <v>171</v>
      </c>
      <c r="K14" s="5">
        <v>41207</v>
      </c>
    </row>
    <row r="15" spans="1:11" x14ac:dyDescent="0.25">
      <c r="A15" t="s">
        <v>5</v>
      </c>
      <c r="B15" t="s">
        <v>185</v>
      </c>
      <c r="K15" s="5">
        <v>41297</v>
      </c>
    </row>
    <row r="16" spans="1:11" x14ac:dyDescent="0.25">
      <c r="A16" t="s">
        <v>4</v>
      </c>
      <c r="B16" t="s">
        <v>181</v>
      </c>
    </row>
    <row r="17" spans="2:25" x14ac:dyDescent="0.25">
      <c r="B17" t="s">
        <v>187</v>
      </c>
    </row>
    <row r="18" spans="2:25" x14ac:dyDescent="0.25">
      <c r="B18" t="s">
        <v>182</v>
      </c>
    </row>
    <row r="21" spans="2:25" x14ac:dyDescent="0.25">
      <c r="C21" t="s">
        <v>140</v>
      </c>
    </row>
    <row r="22" spans="2:25" x14ac:dyDescent="0.25">
      <c r="C22" t="s">
        <v>124</v>
      </c>
      <c r="F22" t="s">
        <v>37</v>
      </c>
      <c r="I22" t="s">
        <v>37</v>
      </c>
      <c r="O22" t="s">
        <v>38</v>
      </c>
    </row>
    <row r="23" spans="2:25" x14ac:dyDescent="0.25">
      <c r="C23" t="s">
        <v>25</v>
      </c>
      <c r="D23" t="s">
        <v>121</v>
      </c>
      <c r="E23" t="s">
        <v>120</v>
      </c>
      <c r="F23" t="s">
        <v>125</v>
      </c>
      <c r="G23" t="s">
        <v>4</v>
      </c>
      <c r="H23" t="s">
        <v>144</v>
      </c>
      <c r="I23" t="s">
        <v>26</v>
      </c>
      <c r="J23" t="s">
        <v>176</v>
      </c>
      <c r="K23" t="s">
        <v>177</v>
      </c>
      <c r="L23" t="s">
        <v>183</v>
      </c>
      <c r="M23" t="s">
        <v>188</v>
      </c>
      <c r="N23" t="s">
        <v>126</v>
      </c>
      <c r="O23" t="s">
        <v>88</v>
      </c>
      <c r="P23" t="s">
        <v>126</v>
      </c>
      <c r="Q23" t="s">
        <v>141</v>
      </c>
      <c r="R23" t="s">
        <v>125</v>
      </c>
      <c r="S23" t="s">
        <v>142</v>
      </c>
      <c r="T23" t="s">
        <v>104</v>
      </c>
      <c r="U23" t="s">
        <v>65</v>
      </c>
      <c r="V23" t="s">
        <v>122</v>
      </c>
      <c r="W23" t="s">
        <v>169</v>
      </c>
      <c r="X23" t="s">
        <v>170</v>
      </c>
      <c r="Y23" t="s">
        <v>127</v>
      </c>
    </row>
    <row r="24" spans="2:25" x14ac:dyDescent="0.25">
      <c r="C24">
        <v>1</v>
      </c>
      <c r="D24" t="s">
        <v>116</v>
      </c>
      <c r="E24" t="s">
        <v>137</v>
      </c>
      <c r="F24" s="16">
        <v>545.16999999999996</v>
      </c>
      <c r="G24" s="16">
        <v>590</v>
      </c>
      <c r="H24" s="16">
        <v>5.5750000000000002</v>
      </c>
      <c r="I24" s="19">
        <v>40977</v>
      </c>
      <c r="J24" s="22">
        <v>47.209600000000002</v>
      </c>
      <c r="K24" s="22" t="s">
        <v>178</v>
      </c>
      <c r="L24" s="22">
        <v>0.2</v>
      </c>
      <c r="M24" s="22">
        <v>26.91</v>
      </c>
      <c r="N24" s="12">
        <v>0.39583333333333331</v>
      </c>
      <c r="O24" s="17">
        <v>41020</v>
      </c>
      <c r="P24" s="12">
        <v>0.39583333333333331</v>
      </c>
      <c r="Q24" s="6">
        <f>F24-H24</f>
        <v>539.59499999999991</v>
      </c>
      <c r="R24" s="18">
        <v>572.98</v>
      </c>
      <c r="S24" s="6">
        <f>G24+H24</f>
        <v>595.57500000000005</v>
      </c>
      <c r="T24" s="6" t="str">
        <f>IF(OR(R24&gt;S24,R24&lt;Q24), "loss", "win")</f>
        <v>win</v>
      </c>
      <c r="U24" s="18">
        <v>3338.5</v>
      </c>
      <c r="V24" s="6" t="str">
        <f>IF(X24&lt;0, "loss", "win")</f>
        <v>win</v>
      </c>
      <c r="W24" s="6">
        <f>(R24-F24)*100</f>
        <v>2781.0000000000059</v>
      </c>
      <c r="X24" s="6">
        <f>U24-W24</f>
        <v>557.49999999999409</v>
      </c>
      <c r="Y24" t="s">
        <v>36</v>
      </c>
    </row>
    <row r="25" spans="2:25" x14ac:dyDescent="0.25">
      <c r="C25">
        <v>2</v>
      </c>
      <c r="D25" t="s">
        <v>116</v>
      </c>
      <c r="E25" t="s">
        <v>137</v>
      </c>
      <c r="F25" s="16">
        <v>582.13</v>
      </c>
      <c r="G25" s="16">
        <v>615</v>
      </c>
      <c r="H25" s="16">
        <v>6.85</v>
      </c>
      <c r="I25" s="19">
        <v>41030</v>
      </c>
      <c r="J25" s="22">
        <v>54.007399999999997</v>
      </c>
      <c r="K25" s="22" t="s">
        <v>178</v>
      </c>
      <c r="L25" s="22">
        <v>0.2</v>
      </c>
      <c r="M25" s="22">
        <v>29.21</v>
      </c>
      <c r="N25" s="12">
        <v>0.39583333333333331</v>
      </c>
      <c r="O25" s="17">
        <v>41076</v>
      </c>
      <c r="P25" s="12">
        <v>0.39583333333333331</v>
      </c>
      <c r="Q25" s="6">
        <f>F25-H25</f>
        <v>575.28</v>
      </c>
      <c r="R25" s="18">
        <v>574.13</v>
      </c>
      <c r="S25" s="6">
        <f>G25+H25</f>
        <v>621.85</v>
      </c>
      <c r="T25" s="6" t="str">
        <f>IF(OR(R25&gt;S25,R25&lt;Q25), "loss", "win")</f>
        <v>loss</v>
      </c>
      <c r="U25" s="18">
        <v>-115</v>
      </c>
      <c r="V25" s="6" t="str">
        <f>IF(X25&lt;0, "loss", "win")</f>
        <v>win</v>
      </c>
      <c r="W25" s="6">
        <f>(R25-F25)*100</f>
        <v>-800</v>
      </c>
      <c r="X25" s="6">
        <f>U25-W25</f>
        <v>685</v>
      </c>
      <c r="Y25" t="s">
        <v>36</v>
      </c>
    </row>
    <row r="26" spans="2:25" x14ac:dyDescent="0.25">
      <c r="C26">
        <v>3</v>
      </c>
      <c r="D26" t="s">
        <v>116</v>
      </c>
      <c r="E26" t="s">
        <v>137</v>
      </c>
      <c r="F26" s="16">
        <v>599.41</v>
      </c>
      <c r="G26" s="16">
        <v>655</v>
      </c>
      <c r="H26" s="16">
        <v>6.1</v>
      </c>
      <c r="I26" s="19">
        <v>41093</v>
      </c>
      <c r="J26" s="22">
        <v>49.392800000000001</v>
      </c>
      <c r="K26" s="22" t="s">
        <v>178</v>
      </c>
      <c r="L26" s="22">
        <v>0.2</v>
      </c>
      <c r="M26" s="22">
        <v>27.91</v>
      </c>
      <c r="N26" s="12">
        <v>0.39583333333333331</v>
      </c>
      <c r="O26" s="17">
        <v>41113</v>
      </c>
      <c r="P26" s="12">
        <v>0.39583333333333331</v>
      </c>
      <c r="Q26" s="6">
        <f>F26-H26</f>
        <v>593.30999999999995</v>
      </c>
      <c r="R26" s="18">
        <v>603.83000000000004</v>
      </c>
      <c r="S26" s="6">
        <f>G26+H26</f>
        <v>661.1</v>
      </c>
      <c r="T26" s="6" t="str">
        <f>IF(OR(R26&gt;S26,R26&lt;Q26), "loss", "win")</f>
        <v>win</v>
      </c>
      <c r="U26" s="18">
        <v>592</v>
      </c>
      <c r="V26" s="6" t="str">
        <f>IF(X26&lt;0, "loss", "win")</f>
        <v>win</v>
      </c>
      <c r="W26" s="6">
        <f>(R26-F26)*100</f>
        <v>442.00000000000728</v>
      </c>
      <c r="X26" s="6">
        <f>U26-W26</f>
        <v>149.99999999999272</v>
      </c>
      <c r="Y26" t="s">
        <v>36</v>
      </c>
    </row>
    <row r="27" spans="2:25" x14ac:dyDescent="0.25">
      <c r="C27">
        <v>4</v>
      </c>
      <c r="D27" t="s">
        <v>116</v>
      </c>
      <c r="E27" t="s">
        <v>137</v>
      </c>
      <c r="F27" s="16">
        <v>670.23</v>
      </c>
      <c r="G27" s="16">
        <v>730</v>
      </c>
      <c r="H27" s="16">
        <v>6.6</v>
      </c>
      <c r="I27" s="19">
        <v>41157</v>
      </c>
      <c r="J27" s="22">
        <v>46.263100000000001</v>
      </c>
      <c r="K27" s="22" t="s">
        <v>178</v>
      </c>
      <c r="L27" s="22">
        <v>0.2</v>
      </c>
      <c r="M27" s="22">
        <v>27.14</v>
      </c>
      <c r="N27" s="12">
        <v>0.39583333333333331</v>
      </c>
      <c r="O27" s="17">
        <v>41113</v>
      </c>
      <c r="P27" s="12">
        <v>0.39583333333333331</v>
      </c>
      <c r="Q27" s="6">
        <f>F27-H27</f>
        <v>663.63</v>
      </c>
      <c r="R27" s="18">
        <v>632.64</v>
      </c>
      <c r="S27" s="6">
        <f>G27+H27</f>
        <v>736.6</v>
      </c>
      <c r="T27" s="6" t="str">
        <f>IF(OR(R27&gt;S27,R27&lt;Q27), "loss", "win")</f>
        <v>loss</v>
      </c>
      <c r="U27" s="18">
        <v>-3099</v>
      </c>
      <c r="V27" s="6" t="str">
        <f>IF(X27&lt;0, "loss", "win")</f>
        <v>win</v>
      </c>
      <c r="W27" s="6">
        <f>(R27-F27)*100</f>
        <v>-3759.0000000000032</v>
      </c>
      <c r="X27" s="6">
        <f>U27-W27</f>
        <v>660.00000000000318</v>
      </c>
      <c r="Y27" t="s">
        <v>36</v>
      </c>
    </row>
    <row r="28" spans="2:25" x14ac:dyDescent="0.25">
      <c r="C28">
        <v>5</v>
      </c>
      <c r="D28" t="s">
        <v>116</v>
      </c>
      <c r="E28" t="s">
        <v>137</v>
      </c>
      <c r="F28" s="16">
        <v>547.24450000000002</v>
      </c>
      <c r="G28" s="16">
        <v>615</v>
      </c>
      <c r="H28" s="16">
        <v>6.7249999999999996</v>
      </c>
      <c r="I28" s="19">
        <v>41249</v>
      </c>
      <c r="J28" s="22">
        <v>40.396000000000001</v>
      </c>
      <c r="K28" s="22" t="s">
        <v>178</v>
      </c>
      <c r="L28" s="22">
        <v>0.2</v>
      </c>
      <c r="M28" s="22">
        <v>36.1</v>
      </c>
      <c r="N28" s="12">
        <v>0.39583333333333331</v>
      </c>
      <c r="O28" s="17">
        <v>41293</v>
      </c>
      <c r="P28" s="12">
        <v>0.39583333333333331</v>
      </c>
      <c r="Q28" s="6">
        <f>F28-H28</f>
        <v>540.51949999999999</v>
      </c>
      <c r="R28" s="18">
        <v>500</v>
      </c>
      <c r="S28" s="6">
        <f>G28+H28</f>
        <v>621.72500000000002</v>
      </c>
      <c r="T28" s="6" t="str">
        <f>IF(OR(R28&gt;S28,R28&lt;Q28), "loss", "win")</f>
        <v>loss</v>
      </c>
      <c r="U28" s="18">
        <v>-4051.95</v>
      </c>
      <c r="V28" s="6" t="str">
        <f>IF(X28&lt;0, "loss", "win")</f>
        <v>win</v>
      </c>
      <c r="W28" s="6">
        <f>(R28-F28)*100</f>
        <v>-4724.4500000000016</v>
      </c>
      <c r="X28" s="6">
        <f>U28-W28</f>
        <v>672.50000000000182</v>
      </c>
      <c r="Y28" t="s">
        <v>36</v>
      </c>
    </row>
    <row r="32" spans="2:25" x14ac:dyDescent="0.25">
      <c r="D32" t="s">
        <v>189</v>
      </c>
    </row>
    <row r="33" spans="4:6" x14ac:dyDescent="0.25">
      <c r="D33" s="5">
        <v>40909</v>
      </c>
      <c r="E33" s="6">
        <v>405</v>
      </c>
      <c r="F33" s="9">
        <f>100*E33</f>
        <v>40500</v>
      </c>
    </row>
    <row r="34" spans="4:6" x14ac:dyDescent="0.25">
      <c r="D34" s="5">
        <v>41293</v>
      </c>
      <c r="E34" s="6">
        <v>500</v>
      </c>
    </row>
    <row r="35" spans="4:6" x14ac:dyDescent="0.25">
      <c r="D35" t="s">
        <v>190</v>
      </c>
      <c r="E35" s="6">
        <f>100*(E34-E33)</f>
        <v>9500</v>
      </c>
      <c r="F35" s="11">
        <f>E35/F33</f>
        <v>0.23456790123456789</v>
      </c>
    </row>
    <row r="36" spans="4:6" x14ac:dyDescent="0.25">
      <c r="D36" t="s">
        <v>116</v>
      </c>
      <c r="E36" s="9">
        <f>E35+SUM(X24:X28)</f>
        <v>12224.999999999993</v>
      </c>
      <c r="F36" s="11">
        <f>E36/F33</f>
        <v>0.30185185185185165</v>
      </c>
    </row>
    <row r="39" spans="4:6" x14ac:dyDescent="0.25">
      <c r="E39" t="s">
        <v>191</v>
      </c>
      <c r="F39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CD06-5267-46C3-A6CC-D5C845539A31}">
  <dimension ref="A1:C1"/>
  <sheetViews>
    <sheetView workbookViewId="0">
      <selection activeCell="A2" sqref="A2"/>
    </sheetView>
  </sheetViews>
  <sheetFormatPr defaultRowHeight="15" x14ac:dyDescent="0.25"/>
  <sheetData>
    <row r="1" spans="1:3" ht="27" thickBot="1" x14ac:dyDescent="0.3">
      <c r="A1" s="1">
        <v>7</v>
      </c>
      <c r="B1" s="4" t="s">
        <v>1</v>
      </c>
      <c r="C1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4468-EB6F-42EB-ACCA-D7D36723F376}">
  <dimension ref="A1:C8"/>
  <sheetViews>
    <sheetView workbookViewId="0">
      <selection activeCell="G6" sqref="G6"/>
    </sheetView>
  </sheetViews>
  <sheetFormatPr defaultRowHeight="15" x14ac:dyDescent="0.25"/>
  <sheetData>
    <row r="1" spans="1:3" ht="27" thickBot="1" x14ac:dyDescent="0.3">
      <c r="A1" s="1">
        <v>8</v>
      </c>
      <c r="B1" s="4" t="s">
        <v>7</v>
      </c>
      <c r="C1" t="s">
        <v>9</v>
      </c>
    </row>
    <row r="6" spans="1:3" x14ac:dyDescent="0.25">
      <c r="C6" s="3" t="s">
        <v>57</v>
      </c>
    </row>
    <row r="7" spans="1:3" x14ac:dyDescent="0.25">
      <c r="C7" s="3" t="s">
        <v>58</v>
      </c>
    </row>
    <row r="8" spans="1:3" x14ac:dyDescent="0.25">
      <c r="C8" s="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7C59-1D7F-46B9-A78E-6FB83D5ECD49}">
  <dimension ref="A1:L7"/>
  <sheetViews>
    <sheetView tabSelected="1" workbookViewId="0">
      <selection activeCell="S7" sqref="S7"/>
    </sheetView>
  </sheetViews>
  <sheetFormatPr defaultRowHeight="15" x14ac:dyDescent="0.25"/>
  <sheetData>
    <row r="1" spans="1:12" ht="27" thickBot="1" x14ac:dyDescent="0.3">
      <c r="A1" s="1">
        <v>9</v>
      </c>
      <c r="B1" s="4" t="s">
        <v>7</v>
      </c>
      <c r="C1" t="s">
        <v>10</v>
      </c>
    </row>
    <row r="5" spans="1:12" x14ac:dyDescent="0.25">
      <c r="L5" t="s">
        <v>195</v>
      </c>
    </row>
    <row r="6" spans="1:12" x14ac:dyDescent="0.25">
      <c r="C6" s="3" t="s">
        <v>60</v>
      </c>
    </row>
    <row r="7" spans="1:12" x14ac:dyDescent="0.25">
      <c r="C7" s="3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32B8-B3F6-4486-950B-6FCA4AEF5420}">
  <dimension ref="A1:B1"/>
  <sheetViews>
    <sheetView workbookViewId="0">
      <selection activeCell="A2" sqref="A2"/>
    </sheetView>
  </sheetViews>
  <sheetFormatPr defaultRowHeight="15" x14ac:dyDescent="0.25"/>
  <sheetData>
    <row r="1" spans="1:2" ht="15.75" thickBot="1" x14ac:dyDescent="0.3">
      <c r="A1" s="1">
        <v>10</v>
      </c>
      <c r="B1" s="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274-8870-4C3A-ADE6-242F3A932A01}">
  <dimension ref="A1:B1"/>
  <sheetViews>
    <sheetView workbookViewId="0">
      <selection activeCell="F8" sqref="F8"/>
    </sheetView>
  </sheetViews>
  <sheetFormatPr defaultRowHeight="15" x14ac:dyDescent="0.25"/>
  <sheetData>
    <row r="1" spans="1:2" ht="27" thickBot="1" x14ac:dyDescent="0.3">
      <c r="A1" s="1">
        <v>11</v>
      </c>
      <c r="B1" s="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38B7-1623-44E1-AF8E-5503CB6E4237}">
  <dimension ref="A1:B1"/>
  <sheetViews>
    <sheetView workbookViewId="0">
      <selection activeCell="J21" sqref="J21"/>
    </sheetView>
  </sheetViews>
  <sheetFormatPr defaultRowHeight="15" x14ac:dyDescent="0.25"/>
  <sheetData>
    <row r="1" spans="1:2" ht="27" thickBot="1" x14ac:dyDescent="0.3">
      <c r="A1" s="1">
        <v>12</v>
      </c>
      <c r="B1" s="4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5120-1976-4EB2-8059-FB9A2E39A643}">
  <dimension ref="A1:C8"/>
  <sheetViews>
    <sheetView workbookViewId="0">
      <selection activeCell="J18" sqref="J18"/>
    </sheetView>
  </sheetViews>
  <sheetFormatPr defaultRowHeight="15" x14ac:dyDescent="0.25"/>
  <sheetData>
    <row r="1" spans="1:3" ht="27" thickBot="1" x14ac:dyDescent="0.3">
      <c r="A1" s="1">
        <v>13</v>
      </c>
      <c r="B1" s="4" t="s">
        <v>24</v>
      </c>
    </row>
    <row r="7" spans="1:3" x14ac:dyDescent="0.25">
      <c r="C7" s="3" t="s">
        <v>56</v>
      </c>
    </row>
    <row r="8" spans="1:3" x14ac:dyDescent="0.25">
      <c r="C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ACAA-6108-4AB4-B166-C6A930489BE7}">
  <dimension ref="A1:B1"/>
  <sheetViews>
    <sheetView workbookViewId="0">
      <selection activeCell="H12" sqref="H12"/>
    </sheetView>
  </sheetViews>
  <sheetFormatPr defaultRowHeight="15" x14ac:dyDescent="0.25"/>
  <sheetData>
    <row r="1" spans="1:2" ht="15.75" thickBot="1" x14ac:dyDescent="0.3">
      <c r="A1" s="1">
        <v>14</v>
      </c>
      <c r="B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</vt:lpstr>
      <vt:lpstr>1 intro</vt:lpstr>
      <vt:lpstr>2 records</vt:lpstr>
      <vt:lpstr>3 T</vt:lpstr>
      <vt:lpstr>4 S</vt:lpstr>
      <vt:lpstr>5 K</vt:lpstr>
      <vt:lpstr>6 vol</vt:lpstr>
      <vt:lpstr>7 other</vt:lpstr>
      <vt:lpstr>8 take profit</vt:lpstr>
      <vt:lpstr>9 stop loss</vt:lpstr>
      <vt:lpstr>10 plan</vt:lpstr>
      <vt:lpstr>11 watchlist</vt:lpstr>
      <vt:lpstr>12 entry</vt:lpstr>
      <vt:lpstr>13 exit</vt:lpstr>
      <vt:lpstr>14 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 DIAO</dc:creator>
  <cp:lastModifiedBy>WEIJIE DIAO</cp:lastModifiedBy>
  <dcterms:created xsi:type="dcterms:W3CDTF">2015-06-05T18:17:20Z</dcterms:created>
  <dcterms:modified xsi:type="dcterms:W3CDTF">2022-10-08T00:41:23Z</dcterms:modified>
</cp:coreProperties>
</file>