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wjus\Downloads\"/>
    </mc:Choice>
  </mc:AlternateContent>
  <xr:revisionPtr revIDLastSave="0" documentId="13_ncr:1_{C92B37C1-D524-4D6A-9D38-5194E55270B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3" r:id="rId1"/>
    <sheet name="概念" sheetId="4" r:id="rId2"/>
    <sheet name="图1" sheetId="8" r:id="rId3"/>
    <sheet name="r,q" sheetId="5" r:id="rId4"/>
    <sheet name="r,q (2)" sheetId="12" r:id="rId5"/>
    <sheet name="pricing" sheetId="6" r:id="rId6"/>
    <sheet name="pricing(2)" sheetId="10" r:id="rId7"/>
    <sheet name="价格曲线" sheetId="11" r:id="rId8"/>
    <sheet name="图2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0" i="10" l="1"/>
  <c r="AA7" i="10"/>
  <c r="AA8" i="10"/>
  <c r="AA9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6" i="10"/>
  <c r="F22" i="13"/>
  <c r="F21" i="13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6" i="11"/>
  <c r="O7" i="12"/>
  <c r="M9" i="11" a="1"/>
  <c r="M15" i="11" a="1"/>
  <c r="M21" i="11" a="1"/>
  <c r="M11" i="11" a="1"/>
  <c r="M23" i="11" a="1"/>
  <c r="M12" i="11" a="1"/>
  <c r="M14" i="11" a="1"/>
  <c r="M10" i="11" a="1"/>
  <c r="M16" i="11" a="1"/>
  <c r="M22" i="11" a="1"/>
  <c r="M17" i="11" a="1"/>
  <c r="M18" i="11" a="1"/>
  <c r="M20" i="11" a="1"/>
  <c r="M7" i="11" a="1"/>
  <c r="M13" i="11" a="1"/>
  <c r="M19" i="11" a="1"/>
  <c r="M8" i="11" a="1"/>
  <c r="M6" i="11" a="1"/>
  <c r="K9" i="11" a="1"/>
  <c r="K15" i="11" a="1"/>
  <c r="K21" i="11" a="1"/>
  <c r="K10" i="11" a="1"/>
  <c r="K16" i="11" a="1"/>
  <c r="K22" i="11" a="1"/>
  <c r="K11" i="11" a="1"/>
  <c r="K17" i="11" a="1"/>
  <c r="K23" i="11" a="1"/>
  <c r="K20" i="11" a="1"/>
  <c r="K12" i="11" a="1"/>
  <c r="K18" i="11" a="1"/>
  <c r="K7" i="11" a="1"/>
  <c r="K13" i="11" a="1"/>
  <c r="K19" i="11" a="1"/>
  <c r="K8" i="11" a="1"/>
  <c r="K14" i="11" a="1"/>
  <c r="K6" i="11" a="1"/>
  <c r="H22" i="13" a="1"/>
  <c r="H21" i="13" a="1"/>
  <c r="G16" i="13" a="1"/>
  <c r="H22" i="13" l="1"/>
  <c r="H21" i="13"/>
  <c r="H23" i="13" s="1"/>
  <c r="G16" i="13"/>
  <c r="M8" i="11"/>
  <c r="M19" i="11"/>
  <c r="M13" i="11"/>
  <c r="M7" i="11"/>
  <c r="M20" i="11"/>
  <c r="M18" i="11"/>
  <c r="M17" i="11"/>
  <c r="M22" i="11"/>
  <c r="M16" i="11"/>
  <c r="M10" i="11"/>
  <c r="M14" i="11"/>
  <c r="M12" i="11"/>
  <c r="M23" i="11"/>
  <c r="M11" i="11"/>
  <c r="M21" i="11"/>
  <c r="M15" i="11"/>
  <c r="M9" i="11"/>
  <c r="M6" i="11"/>
  <c r="K14" i="11"/>
  <c r="K8" i="11"/>
  <c r="K19" i="11"/>
  <c r="K13" i="11"/>
  <c r="K7" i="11"/>
  <c r="K18" i="11"/>
  <c r="K12" i="11"/>
  <c r="K20" i="11"/>
  <c r="K23" i="11"/>
  <c r="K17" i="11"/>
  <c r="K11" i="11"/>
  <c r="K22" i="11"/>
  <c r="K16" i="11"/>
  <c r="K10" i="11"/>
  <c r="K21" i="11"/>
  <c r="K15" i="11"/>
  <c r="K9" i="11"/>
  <c r="K6" i="11"/>
  <c r="G25" i="12" l="1"/>
  <c r="B25" i="12"/>
  <c r="G24" i="12"/>
  <c r="B24" i="12"/>
  <c r="K21" i="12"/>
  <c r="G23" i="12"/>
  <c r="B23" i="12"/>
  <c r="J21" i="12" s="1"/>
  <c r="L21" i="12" s="1"/>
  <c r="K20" i="12"/>
  <c r="J20" i="12"/>
  <c r="L20" i="12" s="1"/>
  <c r="G22" i="12"/>
  <c r="B22" i="12"/>
  <c r="K19" i="12"/>
  <c r="G21" i="12"/>
  <c r="B21" i="12"/>
  <c r="J19" i="12" s="1"/>
  <c r="L19" i="12" s="1"/>
  <c r="K18" i="12"/>
  <c r="G20" i="12"/>
  <c r="B20" i="12"/>
  <c r="J18" i="12" s="1"/>
  <c r="L18" i="12" s="1"/>
  <c r="K17" i="12"/>
  <c r="G19" i="12"/>
  <c r="B19" i="12"/>
  <c r="J17" i="12" s="1"/>
  <c r="L17" i="12" s="1"/>
  <c r="K16" i="12"/>
  <c r="G18" i="12"/>
  <c r="J16" i="12" s="1"/>
  <c r="L16" i="12" s="1"/>
  <c r="B18" i="12"/>
  <c r="K15" i="12"/>
  <c r="J15" i="12"/>
  <c r="L15" i="12" s="1"/>
  <c r="G17" i="12"/>
  <c r="B17" i="12"/>
  <c r="K14" i="12"/>
  <c r="G16" i="12"/>
  <c r="B16" i="12"/>
  <c r="J14" i="12" s="1"/>
  <c r="L14" i="12" s="1"/>
  <c r="K13" i="12"/>
  <c r="G15" i="12"/>
  <c r="B15" i="12"/>
  <c r="J13" i="12" s="1"/>
  <c r="L13" i="12" s="1"/>
  <c r="G14" i="12"/>
  <c r="B14" i="12"/>
  <c r="K12" i="12"/>
  <c r="G13" i="12"/>
  <c r="B13" i="12"/>
  <c r="J12" i="12" s="1"/>
  <c r="L12" i="12" s="1"/>
  <c r="K11" i="12"/>
  <c r="G12" i="12"/>
  <c r="B12" i="12"/>
  <c r="J11" i="12" s="1"/>
  <c r="L11" i="12" s="1"/>
  <c r="K10" i="12"/>
  <c r="G11" i="12"/>
  <c r="B11" i="12"/>
  <c r="J10" i="12" s="1"/>
  <c r="L10" i="12" s="1"/>
  <c r="O10" i="12"/>
  <c r="G10" i="12"/>
  <c r="B10" i="12"/>
  <c r="K9" i="12"/>
  <c r="J9" i="12"/>
  <c r="L9" i="12" s="1"/>
  <c r="G9" i="12"/>
  <c r="B9" i="12"/>
  <c r="K8" i="12"/>
  <c r="G8" i="12"/>
  <c r="B8" i="12"/>
  <c r="J8" i="12" s="1"/>
  <c r="L8" i="12" s="1"/>
  <c r="K7" i="12"/>
  <c r="O5" i="12" s="1"/>
  <c r="J7" i="12"/>
  <c r="L7" i="12" s="1"/>
  <c r="G7" i="12"/>
  <c r="B7" i="12"/>
  <c r="K6" i="12"/>
  <c r="G6" i="12"/>
  <c r="B6" i="12"/>
  <c r="J6" i="12" s="1"/>
  <c r="L6" i="12" s="1"/>
  <c r="E3" i="12"/>
  <c r="F3" i="12" s="1"/>
  <c r="F2" i="12"/>
  <c r="E2" i="12"/>
  <c r="E1" i="12"/>
  <c r="F1" i="12" s="1"/>
  <c r="O11" i="12" s="1"/>
  <c r="V7" i="10"/>
  <c r="V8" i="10"/>
  <c r="V9" i="10"/>
  <c r="V10" i="10"/>
  <c r="V11" i="10"/>
  <c r="V12" i="10"/>
  <c r="V13" i="10"/>
  <c r="V14" i="10"/>
  <c r="V15" i="10"/>
  <c r="V16" i="10"/>
  <c r="V17" i="10"/>
  <c r="V18" i="10"/>
  <c r="V19" i="10"/>
  <c r="V20" i="10"/>
  <c r="V21" i="10"/>
  <c r="V22" i="10"/>
  <c r="V23" i="10"/>
  <c r="V24" i="10"/>
  <c r="V25" i="10"/>
  <c r="V6" i="10"/>
  <c r="I25" i="10"/>
  <c r="O25" i="10" s="1"/>
  <c r="I24" i="10"/>
  <c r="O24" i="10" s="1"/>
  <c r="I23" i="10"/>
  <c r="O23" i="10" s="1"/>
  <c r="I22" i="10"/>
  <c r="O22" i="10" s="1"/>
  <c r="I21" i="10"/>
  <c r="O21" i="10" s="1"/>
  <c r="I20" i="10"/>
  <c r="O20" i="10" s="1"/>
  <c r="I19" i="10"/>
  <c r="O19" i="10" s="1"/>
  <c r="I18" i="10"/>
  <c r="O18" i="10" s="1"/>
  <c r="I17" i="10"/>
  <c r="O17" i="10" s="1"/>
  <c r="I16" i="10"/>
  <c r="O16" i="10" s="1"/>
  <c r="I15" i="10"/>
  <c r="O15" i="10" s="1"/>
  <c r="I14" i="10"/>
  <c r="O14" i="10" s="1"/>
  <c r="I13" i="10"/>
  <c r="O13" i="10" s="1"/>
  <c r="I12" i="10"/>
  <c r="O12" i="10" s="1"/>
  <c r="I11" i="10"/>
  <c r="O11" i="10" s="1"/>
  <c r="I10" i="10"/>
  <c r="O10" i="10" s="1"/>
  <c r="I9" i="10"/>
  <c r="O9" i="10" s="1"/>
  <c r="I8" i="10"/>
  <c r="O8" i="10" s="1"/>
  <c r="I7" i="10"/>
  <c r="O7" i="10" s="1"/>
  <c r="I6" i="10"/>
  <c r="O6" i="10" s="1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6" i="6"/>
  <c r="AF12" i="8"/>
  <c r="AF13" i="8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11" i="8"/>
  <c r="O8" i="6"/>
  <c r="O9" i="6"/>
  <c r="O14" i="6"/>
  <c r="O24" i="6"/>
  <c r="O6" i="6"/>
  <c r="I7" i="6"/>
  <c r="O7" i="6" s="1"/>
  <c r="I8" i="6"/>
  <c r="I9" i="6"/>
  <c r="I10" i="6"/>
  <c r="O10" i="6" s="1"/>
  <c r="I11" i="6"/>
  <c r="O11" i="6" s="1"/>
  <c r="I12" i="6"/>
  <c r="O12" i="6" s="1"/>
  <c r="I13" i="6"/>
  <c r="O13" i="6" s="1"/>
  <c r="I14" i="6"/>
  <c r="I15" i="6"/>
  <c r="O15" i="6" s="1"/>
  <c r="I16" i="6"/>
  <c r="O16" i="6" s="1"/>
  <c r="I17" i="6"/>
  <c r="O17" i="6" s="1"/>
  <c r="I18" i="6"/>
  <c r="O18" i="6" s="1"/>
  <c r="I19" i="6"/>
  <c r="O19" i="6" s="1"/>
  <c r="I20" i="6"/>
  <c r="O20" i="6" s="1"/>
  <c r="I21" i="6"/>
  <c r="O21" i="6" s="1"/>
  <c r="I22" i="6"/>
  <c r="O22" i="6" s="1"/>
  <c r="I23" i="6"/>
  <c r="O23" i="6" s="1"/>
  <c r="I24" i="6"/>
  <c r="I25" i="6"/>
  <c r="O25" i="6" s="1"/>
  <c r="I6" i="6"/>
  <c r="O7" i="5"/>
  <c r="K10" i="6" a="1"/>
  <c r="H12" i="6" a="1"/>
  <c r="G16" i="6" a="1"/>
  <c r="J19" i="6" a="1"/>
  <c r="H20" i="6" a="1"/>
  <c r="J16" i="6" a="1"/>
  <c r="H22" i="6" a="1"/>
  <c r="H24" i="6" a="1"/>
  <c r="H6" i="6" a="1"/>
  <c r="J25" i="6" a="1"/>
  <c r="G17" i="6" a="1"/>
  <c r="K6" i="6" a="1"/>
  <c r="K9" i="6" a="1"/>
  <c r="K12" i="6" a="1"/>
  <c r="J8" i="6" a="1"/>
  <c r="J22" i="6" a="1"/>
  <c r="H10" i="6" a="1"/>
  <c r="G9" i="6" a="1"/>
  <c r="G12" i="6" a="1"/>
  <c r="K15" i="6" a="1"/>
  <c r="K24" i="6" a="1"/>
  <c r="J14" i="6" a="1"/>
  <c r="J11" i="6" a="1"/>
  <c r="H16" i="6" a="1"/>
  <c r="G15" i="6" a="1"/>
  <c r="H15" i="6" a="1"/>
  <c r="G25" i="6" a="1"/>
  <c r="K18" i="6" a="1"/>
  <c r="H7" i="6" a="1"/>
  <c r="G6" i="6" a="1"/>
  <c r="G20" i="6" a="1"/>
  <c r="G24" i="6" a="1"/>
  <c r="J23" i="6" a="1"/>
  <c r="K21" i="6" a="1"/>
  <c r="K7" i="6" a="1"/>
  <c r="J20" i="6" a="1"/>
  <c r="J18" i="6" a="1"/>
  <c r="H11" i="6" a="1"/>
  <c r="G21" i="6" a="1"/>
  <c r="G7" i="6" a="1"/>
  <c r="K19" i="6" a="1"/>
  <c r="H18" i="6" a="1"/>
  <c r="G19" i="6" a="1"/>
  <c r="K23" i="6" a="1"/>
  <c r="H8" i="6" a="1"/>
  <c r="G8" i="6" a="1"/>
  <c r="H13" i="6" a="1"/>
  <c r="K22" i="6" a="1"/>
  <c r="K13" i="6" a="1"/>
  <c r="J9" i="6" a="1"/>
  <c r="J6" i="6" a="1"/>
  <c r="H23" i="6" a="1"/>
  <c r="G11" i="6" a="1"/>
  <c r="G13" i="6" a="1"/>
  <c r="J15" i="6" a="1"/>
  <c r="H9" i="6" a="1"/>
  <c r="G23" i="6" a="1"/>
  <c r="J21" i="6" a="1"/>
  <c r="H21" i="6" a="1"/>
  <c r="K14" i="6" a="1"/>
  <c r="K11" i="6" a="1"/>
  <c r="K25" i="6" a="1"/>
  <c r="G18" i="6" a="1"/>
  <c r="J17" i="6" a="1"/>
  <c r="K8" i="6" a="1"/>
  <c r="K20" i="6" a="1"/>
  <c r="J7" i="6" a="1"/>
  <c r="J12" i="6" a="1"/>
  <c r="H17" i="6" a="1"/>
  <c r="H19" i="6" a="1"/>
  <c r="G10" i="6" a="1"/>
  <c r="J13" i="6" a="1"/>
  <c r="J24" i="6" a="1"/>
  <c r="H25" i="6" a="1"/>
  <c r="K16" i="6" a="1"/>
  <c r="J10" i="6" a="1"/>
  <c r="G22" i="6" a="1"/>
  <c r="K17" i="6" a="1"/>
  <c r="H14" i="6" a="1"/>
  <c r="G14" i="6" a="1"/>
  <c r="Y17" i="10" a="1"/>
  <c r="X9" i="10" a="1"/>
  <c r="X12" i="10" a="1"/>
  <c r="K12" i="10" a="1"/>
  <c r="K22" i="10" a="1"/>
  <c r="G9" i="10" a="1"/>
  <c r="X13" i="10" a="1"/>
  <c r="J20" i="10" a="1"/>
  <c r="J13" i="10" a="1"/>
  <c r="J10" i="10" a="1"/>
  <c r="X19" i="10" a="1"/>
  <c r="H25" i="10" a="1"/>
  <c r="H8" i="10" a="1"/>
  <c r="H22" i="10" a="1"/>
  <c r="Y10" i="10" a="1"/>
  <c r="X15" i="10" a="1"/>
  <c r="X7" i="10" a="1"/>
  <c r="K15" i="10" a="1"/>
  <c r="G17" i="10" a="1"/>
  <c r="K6" i="10" a="1"/>
  <c r="K16" i="10" a="1"/>
  <c r="J9" i="10" a="1"/>
  <c r="K18" i="10" a="1"/>
  <c r="K7" i="10" a="1"/>
  <c r="Y23" i="10" a="1"/>
  <c r="J23" i="10" a="1"/>
  <c r="J12" i="10" a="1"/>
  <c r="H23" i="10" a="1"/>
  <c r="Y20" i="10" a="1"/>
  <c r="H9" i="10" a="1"/>
  <c r="H6" i="10" a="1"/>
  <c r="X21" i="10" a="1"/>
  <c r="Y25" i="10" a="1"/>
  <c r="Y12" i="10" a="1"/>
  <c r="X22" i="10" a="1"/>
  <c r="X25" i="10" a="1"/>
  <c r="K21" i="10" a="1"/>
  <c r="Y15" i="10" a="1"/>
  <c r="Y18" i="10" a="1"/>
  <c r="X11" i="10" a="1"/>
  <c r="X8" i="10" a="1"/>
  <c r="K20" i="10" a="1"/>
  <c r="G14" i="10" a="1"/>
  <c r="G20" i="10" a="1"/>
  <c r="J8" i="10" a="1"/>
  <c r="G21" i="10" a="1"/>
  <c r="J15" i="10" a="1"/>
  <c r="J21" i="10" a="1"/>
  <c r="K8" i="10" a="1"/>
  <c r="H12" i="10" a="1"/>
  <c r="G15" i="10" a="1"/>
  <c r="J24" i="10" a="1"/>
  <c r="G23" i="10" a="1"/>
  <c r="G24" i="10" a="1"/>
  <c r="X10" i="10" a="1"/>
  <c r="G22" i="10" a="1"/>
  <c r="H17" i="10" a="1"/>
  <c r="Y16" i="10" a="1"/>
  <c r="Y24" i="10" a="1"/>
  <c r="X23" i="10" a="1"/>
  <c r="X14" i="10" a="1"/>
  <c r="G8" i="10" a="1"/>
  <c r="J17" i="10" a="1"/>
  <c r="J7" i="10" a="1"/>
  <c r="H20" i="10" a="1"/>
  <c r="K10" i="10" a="1"/>
  <c r="K11" i="10" a="1"/>
  <c r="K9" i="10" a="1"/>
  <c r="H14" i="10" a="1"/>
  <c r="G7" i="10" a="1"/>
  <c r="X20" i="10" a="1"/>
  <c r="H21" i="10" a="1"/>
  <c r="Y8" i="10" a="1"/>
  <c r="J25" i="10" a="1"/>
  <c r="H18" i="10" a="1"/>
  <c r="Y11" i="10" a="1"/>
  <c r="Y7" i="10" a="1"/>
  <c r="X18" i="10" a="1"/>
  <c r="X6" i="10" a="1"/>
  <c r="H19" i="10" a="1"/>
  <c r="J14" i="10" a="1"/>
  <c r="J22" i="10" a="1"/>
  <c r="Y19" i="10" a="1"/>
  <c r="G13" i="10" a="1"/>
  <c r="J16" i="10" a="1"/>
  <c r="Y21" i="10" a="1"/>
  <c r="G25" i="10" a="1"/>
  <c r="K23" i="10" a="1"/>
  <c r="Y14" i="10" a="1"/>
  <c r="Y13" i="10" a="1"/>
  <c r="X24" i="10" a="1"/>
  <c r="K19" i="10" a="1"/>
  <c r="K24" i="10" a="1"/>
  <c r="H10" i="10" a="1"/>
  <c r="H24" i="10" a="1"/>
  <c r="H11" i="10" a="1"/>
  <c r="J6" i="10" a="1"/>
  <c r="H7" i="10" a="1"/>
  <c r="Y9" i="10" a="1"/>
  <c r="H15" i="10" a="1"/>
  <c r="K14" i="10" a="1"/>
  <c r="G16" i="10" a="1"/>
  <c r="Y22" i="10" a="1"/>
  <c r="Y6" i="10" a="1"/>
  <c r="X17" i="10" a="1"/>
  <c r="G11" i="10" a="1"/>
  <c r="K13" i="10" a="1"/>
  <c r="J19" i="10" a="1"/>
  <c r="G10" i="10" a="1"/>
  <c r="G6" i="10" a="1"/>
  <c r="G18" i="10" a="1"/>
  <c r="G19" i="10" a="1"/>
  <c r="H13" i="10" a="1"/>
  <c r="K17" i="10" a="1"/>
  <c r="K25" i="10" a="1"/>
  <c r="J11" i="10" a="1"/>
  <c r="X16" i="10" a="1"/>
  <c r="G12" i="10" a="1"/>
  <c r="J18" i="10" a="1"/>
  <c r="H16" i="10" a="1"/>
  <c r="O12" i="12" l="1"/>
  <c r="O8" i="12"/>
  <c r="O13" i="12" s="1"/>
  <c r="O6" i="12"/>
  <c r="Y8" i="10"/>
  <c r="Y19" i="10"/>
  <c r="Y13" i="10"/>
  <c r="Y7" i="10"/>
  <c r="Y24" i="10"/>
  <c r="Y18" i="10"/>
  <c r="Y12" i="10"/>
  <c r="Y20" i="10"/>
  <c r="Y23" i="10"/>
  <c r="Y10" i="10"/>
  <c r="Y17" i="10"/>
  <c r="Y22" i="10"/>
  <c r="Y21" i="10"/>
  <c r="Y9" i="10"/>
  <c r="Y14" i="10"/>
  <c r="Y11" i="10"/>
  <c r="Y16" i="10"/>
  <c r="Y15" i="10"/>
  <c r="Y25" i="10"/>
  <c r="Y6" i="10"/>
  <c r="X14" i="10"/>
  <c r="X8" i="10"/>
  <c r="X25" i="10"/>
  <c r="X19" i="10"/>
  <c r="X13" i="10"/>
  <c r="X7" i="10"/>
  <c r="X12" i="10"/>
  <c r="X17" i="10"/>
  <c r="X10" i="10"/>
  <c r="X20" i="10"/>
  <c r="X24" i="10"/>
  <c r="X18" i="10"/>
  <c r="X23" i="10"/>
  <c r="X11" i="10"/>
  <c r="X22" i="10"/>
  <c r="X16" i="10"/>
  <c r="X21" i="10"/>
  <c r="X15" i="10"/>
  <c r="X9" i="10"/>
  <c r="X6" i="10"/>
  <c r="G6" i="10"/>
  <c r="K20" i="10"/>
  <c r="K14" i="10"/>
  <c r="K19" i="10"/>
  <c r="K11" i="10"/>
  <c r="K24" i="10"/>
  <c r="K17" i="10"/>
  <c r="K10" i="10"/>
  <c r="K18" i="10"/>
  <c r="K23" i="10"/>
  <c r="K22" i="10"/>
  <c r="K16" i="10"/>
  <c r="K12" i="10"/>
  <c r="K21" i="10"/>
  <c r="K15" i="10"/>
  <c r="K9" i="10"/>
  <c r="K8" i="10"/>
  <c r="K25" i="10"/>
  <c r="K13" i="10"/>
  <c r="K7" i="10"/>
  <c r="K6" i="10"/>
  <c r="J8" i="10"/>
  <c r="J25" i="10"/>
  <c r="J19" i="10"/>
  <c r="J13" i="10"/>
  <c r="J7" i="10"/>
  <c r="J12" i="10"/>
  <c r="J18" i="10"/>
  <c r="J23" i="10"/>
  <c r="J17" i="10"/>
  <c r="J11" i="10"/>
  <c r="J24" i="10"/>
  <c r="J22" i="10"/>
  <c r="J16" i="10"/>
  <c r="J10" i="10"/>
  <c r="J14" i="10"/>
  <c r="J21" i="10"/>
  <c r="J15" i="10"/>
  <c r="J9" i="10"/>
  <c r="J20" i="10"/>
  <c r="J6" i="10"/>
  <c r="H11" i="10"/>
  <c r="H17" i="10"/>
  <c r="H12" i="10"/>
  <c r="H16" i="10"/>
  <c r="H10" i="10"/>
  <c r="H22" i="10"/>
  <c r="H21" i="10"/>
  <c r="H15" i="10"/>
  <c r="H9" i="10"/>
  <c r="H23" i="10"/>
  <c r="H24" i="10"/>
  <c r="H20" i="10"/>
  <c r="H14" i="10"/>
  <c r="H8" i="10"/>
  <c r="H18" i="10"/>
  <c r="H25" i="10"/>
  <c r="H19" i="10"/>
  <c r="H13" i="10"/>
  <c r="H7" i="10"/>
  <c r="H6" i="10"/>
  <c r="G17" i="10"/>
  <c r="G11" i="10"/>
  <c r="G22" i="10"/>
  <c r="G10" i="10"/>
  <c r="G16" i="10"/>
  <c r="G18" i="10"/>
  <c r="G9" i="10"/>
  <c r="G15" i="10"/>
  <c r="G24" i="10"/>
  <c r="G21" i="10"/>
  <c r="G20" i="10"/>
  <c r="G14" i="10"/>
  <c r="G8" i="10"/>
  <c r="G12" i="10"/>
  <c r="G23" i="10"/>
  <c r="G25" i="10"/>
  <c r="G19" i="10"/>
  <c r="G13" i="10"/>
  <c r="G7" i="10"/>
  <c r="K8" i="6"/>
  <c r="K25" i="6"/>
  <c r="K19" i="6"/>
  <c r="K13" i="6"/>
  <c r="K7" i="6"/>
  <c r="K24" i="6"/>
  <c r="K12" i="6"/>
  <c r="K17" i="6"/>
  <c r="K16" i="6"/>
  <c r="K10" i="6"/>
  <c r="K20" i="6"/>
  <c r="K14" i="6"/>
  <c r="K18" i="6"/>
  <c r="K23" i="6"/>
  <c r="K11" i="6"/>
  <c r="K22" i="6"/>
  <c r="K21" i="6"/>
  <c r="K15" i="6"/>
  <c r="K9" i="6"/>
  <c r="K6" i="6"/>
  <c r="J18" i="6"/>
  <c r="J11" i="6"/>
  <c r="J22" i="6"/>
  <c r="J16" i="6"/>
  <c r="J10" i="6"/>
  <c r="J24" i="6"/>
  <c r="J12" i="6"/>
  <c r="J23" i="6"/>
  <c r="J17" i="6"/>
  <c r="J21" i="6"/>
  <c r="J15" i="6"/>
  <c r="J9" i="6"/>
  <c r="J20" i="6"/>
  <c r="J14" i="6"/>
  <c r="J8" i="6"/>
  <c r="J25" i="6"/>
  <c r="J19" i="6"/>
  <c r="J13" i="6"/>
  <c r="J7" i="6"/>
  <c r="J6" i="6"/>
  <c r="H20" i="6"/>
  <c r="H25" i="6"/>
  <c r="H19" i="6"/>
  <c r="H13" i="6"/>
  <c r="H7" i="6"/>
  <c r="H8" i="6"/>
  <c r="H18" i="6"/>
  <c r="H23" i="6"/>
  <c r="H11" i="6"/>
  <c r="H16" i="6"/>
  <c r="H10" i="6"/>
  <c r="H14" i="6"/>
  <c r="H24" i="6"/>
  <c r="H12" i="6"/>
  <c r="H17" i="6"/>
  <c r="H22" i="6"/>
  <c r="H21" i="6"/>
  <c r="H15" i="6"/>
  <c r="H9" i="6"/>
  <c r="H6" i="6"/>
  <c r="G8" i="6"/>
  <c r="G25" i="6"/>
  <c r="G19" i="6"/>
  <c r="G13" i="6"/>
  <c r="G7" i="6"/>
  <c r="G20" i="6"/>
  <c r="G12" i="6"/>
  <c r="G17" i="6"/>
  <c r="G22" i="6"/>
  <c r="G16" i="6"/>
  <c r="G10" i="6"/>
  <c r="G14" i="6"/>
  <c r="G24" i="6"/>
  <c r="G18" i="6"/>
  <c r="G23" i="6"/>
  <c r="G11" i="6"/>
  <c r="G21" i="6"/>
  <c r="G15" i="6"/>
  <c r="G9" i="6"/>
  <c r="G6" i="6"/>
  <c r="Q16" i="6" a="1"/>
  <c r="N13" i="6" a="1"/>
  <c r="V15" i="6" a="1"/>
  <c r="M10" i="6" a="1"/>
  <c r="N6" i="6" a="1"/>
  <c r="N20" i="6" a="1"/>
  <c r="V7" i="6" a="1"/>
  <c r="Q24" i="6" a="1"/>
  <c r="M17" i="6" a="1"/>
  <c r="M21" i="6" a="1"/>
  <c r="N19" i="6" a="1"/>
  <c r="N22" i="6" a="1"/>
  <c r="P19" i="6" a="1"/>
  <c r="Q20" i="6" a="1"/>
  <c r="P6" i="6" a="1"/>
  <c r="N24" i="6" a="1"/>
  <c r="P18" i="6" a="1"/>
  <c r="Q10" i="6" a="1"/>
  <c r="Q25" i="6" a="1"/>
  <c r="Q9" i="6" a="1"/>
  <c r="Q8" i="6" a="1"/>
  <c r="Q15" i="6" a="1"/>
  <c r="Q12" i="6" a="1"/>
  <c r="M12" i="6" a="1"/>
  <c r="M20" i="6" a="1"/>
  <c r="V12" i="6" a="1"/>
  <c r="N17" i="6" a="1"/>
  <c r="N12" i="6" a="1"/>
  <c r="Q18" i="6" a="1"/>
  <c r="P10" i="6" a="1"/>
  <c r="N11" i="6" a="1"/>
  <c r="N9" i="6" a="1"/>
  <c r="P20" i="6" a="1"/>
  <c r="P11" i="6" a="1"/>
  <c r="M25" i="6" a="1"/>
  <c r="M9" i="6" a="1"/>
  <c r="M14" i="6" a="1"/>
  <c r="M8" i="6" a="1"/>
  <c r="P13" i="6" a="1"/>
  <c r="N16" i="6" a="1"/>
  <c r="P16" i="6" a="1"/>
  <c r="Q21" i="6" a="1"/>
  <c r="M15" i="6" a="1"/>
  <c r="N7" i="6" a="1"/>
  <c r="P14" i="6" a="1"/>
  <c r="V14" i="6" a="1"/>
  <c r="V20" i="6" a="1"/>
  <c r="V17" i="6" a="1"/>
  <c r="Q13" i="6" a="1"/>
  <c r="Q6" i="6" a="1"/>
  <c r="P24" i="6" a="1"/>
  <c r="P9" i="6" a="1"/>
  <c r="P12" i="6" a="1"/>
  <c r="P22" i="6" a="1"/>
  <c r="P17" i="6" a="1"/>
  <c r="P25" i="6" a="1"/>
  <c r="M24" i="6" a="1"/>
  <c r="N21" i="6" a="1"/>
  <c r="N8" i="6" a="1"/>
  <c r="Q11" i="6" a="1"/>
  <c r="M22" i="6" a="1"/>
  <c r="N15" i="6" a="1"/>
  <c r="P23" i="6" a="1"/>
  <c r="M6" i="6" a="1"/>
  <c r="V21" i="6" a="1"/>
  <c r="M18" i="6" a="1"/>
  <c r="Q19" i="6" a="1"/>
  <c r="Q17" i="6" a="1"/>
  <c r="N25" i="6" a="1"/>
  <c r="V22" i="6" a="1"/>
  <c r="M16" i="6" a="1"/>
  <c r="N14" i="6" a="1"/>
  <c r="V6" i="6" a="1"/>
  <c r="Q23" i="6" a="1"/>
  <c r="P7" i="6" a="1"/>
  <c r="Q14" i="6" a="1"/>
  <c r="P8" i="6" a="1"/>
  <c r="N18" i="6" a="1"/>
  <c r="N23" i="6" a="1"/>
  <c r="M11" i="6" a="1"/>
  <c r="Q22" i="6" a="1"/>
  <c r="M13" i="6" a="1"/>
  <c r="V13" i="6" a="1"/>
  <c r="Q7" i="6" a="1"/>
  <c r="M23" i="6" a="1"/>
  <c r="M19" i="6" a="1"/>
  <c r="N10" i="6" a="1"/>
  <c r="P21" i="6" a="1"/>
  <c r="M7" i="6" a="1"/>
  <c r="P15" i="6" a="1"/>
  <c r="V10" i="6" a="1"/>
  <c r="V9" i="6" a="1"/>
  <c r="V16" i="6" a="1"/>
  <c r="V18" i="6" a="1"/>
  <c r="V24" i="6" a="1"/>
  <c r="V19" i="6" a="1"/>
  <c r="V11" i="6" a="1"/>
  <c r="V25" i="6" a="1"/>
  <c r="V8" i="6" a="1"/>
  <c r="V23" i="6" a="1"/>
  <c r="Z21" i="10" a="1"/>
  <c r="Z11" i="10" a="1"/>
  <c r="M10" i="10" a="1"/>
  <c r="N14" i="10" a="1"/>
  <c r="N8" i="10" a="1"/>
  <c r="P14" i="10" a="1"/>
  <c r="M20" i="10" a="1"/>
  <c r="M25" i="10" a="1"/>
  <c r="M18" i="10" a="1"/>
  <c r="P12" i="10" a="1"/>
  <c r="P16" i="10" a="1"/>
  <c r="M13" i="10" a="1"/>
  <c r="M11" i="10" a="1"/>
  <c r="Z7" i="10" a="1"/>
  <c r="Q12" i="10" a="1"/>
  <c r="Q23" i="10" a="1"/>
  <c r="Z15" i="10" a="1"/>
  <c r="Z19" i="10" a="1"/>
  <c r="Z14" i="10" a="1"/>
  <c r="Z10" i="10" a="1"/>
  <c r="N7" i="10" a="1"/>
  <c r="P8" i="10" a="1"/>
  <c r="N9" i="10" a="1"/>
  <c r="Q18" i="10" a="1"/>
  <c r="N10" i="10" a="1"/>
  <c r="M17" i="10" a="1"/>
  <c r="P7" i="10" a="1"/>
  <c r="Z24" i="10" a="1"/>
  <c r="Q21" i="10" a="1"/>
  <c r="P22" i="10" a="1"/>
  <c r="P15" i="10" a="1"/>
  <c r="Z8" i="10" a="1"/>
  <c r="Z20" i="10" a="1"/>
  <c r="P21" i="10" a="1"/>
  <c r="N15" i="10" a="1"/>
  <c r="N23" i="10" a="1"/>
  <c r="Q6" i="10" a="1"/>
  <c r="Q14" i="10" a="1"/>
  <c r="Q20" i="10" a="1"/>
  <c r="Q10" i="10" a="1"/>
  <c r="Q22" i="10" a="1"/>
  <c r="M24" i="10" a="1"/>
  <c r="Z16" i="10" a="1"/>
  <c r="N21" i="10" a="1"/>
  <c r="Z12" i="10" a="1"/>
  <c r="Z22" i="10" a="1"/>
  <c r="M8" i="10" a="1"/>
  <c r="Q15" i="10" a="1"/>
  <c r="Q7" i="10" a="1"/>
  <c r="N16" i="10" a="1"/>
  <c r="P25" i="10" a="1"/>
  <c r="N6" i="10" a="1"/>
  <c r="Q11" i="10" a="1"/>
  <c r="M12" i="10" a="1"/>
  <c r="P9" i="10" a="1"/>
  <c r="P24" i="10" a="1"/>
  <c r="N25" i="10" a="1"/>
  <c r="Z9" i="10" a="1"/>
  <c r="P10" i="10" a="1"/>
  <c r="Z17" i="10" a="1"/>
  <c r="Q8" i="10" a="1"/>
  <c r="Q24" i="10" a="1"/>
  <c r="Q17" i="10" a="1"/>
  <c r="N12" i="10" a="1"/>
  <c r="M15" i="10" a="1"/>
  <c r="N22" i="10" a="1"/>
  <c r="Q19" i="10" a="1"/>
  <c r="P6" i="10" a="1"/>
  <c r="M9" i="10" a="1"/>
  <c r="M21" i="10" a="1"/>
  <c r="M14" i="10" a="1"/>
  <c r="Z6" i="10" a="1"/>
  <c r="P23" i="10" a="1"/>
  <c r="Q25" i="10" a="1"/>
  <c r="Q13" i="10" a="1"/>
  <c r="N18" i="10" a="1"/>
  <c r="N19" i="10" a="1"/>
  <c r="N13" i="10" a="1"/>
  <c r="Q9" i="10" a="1"/>
  <c r="Z18" i="10" a="1"/>
  <c r="P17" i="10" a="1"/>
  <c r="P11" i="10" a="1"/>
  <c r="P18" i="10" a="1"/>
  <c r="Z13" i="10" a="1"/>
  <c r="Z23" i="10" a="1"/>
  <c r="N20" i="10" a="1"/>
  <c r="N11" i="10" a="1"/>
  <c r="N17" i="10" a="1"/>
  <c r="M7" i="10" a="1"/>
  <c r="P19" i="10" a="1"/>
  <c r="Q16" i="10" a="1"/>
  <c r="P20" i="10" a="1"/>
  <c r="P13" i="10" a="1"/>
  <c r="N24" i="10" a="1"/>
  <c r="Z25" i="10" a="1"/>
  <c r="M16" i="10" a="1"/>
  <c r="M6" i="10" a="1"/>
  <c r="M22" i="10" a="1"/>
  <c r="M19" i="10" a="1"/>
  <c r="M23" i="10" a="1"/>
  <c r="Z22" i="10" l="1"/>
  <c r="Z24" i="10"/>
  <c r="Z20" i="10"/>
  <c r="Z10" i="10"/>
  <c r="Z19" i="10"/>
  <c r="Z25" i="10"/>
  <c r="Z11" i="10"/>
  <c r="Z23" i="10"/>
  <c r="Z18" i="10"/>
  <c r="Z6" i="10"/>
  <c r="Z17" i="10"/>
  <c r="Z9" i="10"/>
  <c r="Z12" i="10"/>
  <c r="Z16" i="10"/>
  <c r="Z8" i="10"/>
  <c r="Z14" i="10"/>
  <c r="Z15" i="10"/>
  <c r="Z7" i="10"/>
  <c r="Z21" i="10"/>
  <c r="Z13" i="10"/>
  <c r="M23" i="10"/>
  <c r="M22" i="10"/>
  <c r="N24" i="10"/>
  <c r="P20" i="10"/>
  <c r="P18" i="10"/>
  <c r="Q9" i="10"/>
  <c r="Q19" i="10"/>
  <c r="P15" i="10"/>
  <c r="N6" i="10"/>
  <c r="N21" i="10"/>
  <c r="Q14" i="10"/>
  <c r="M17" i="10"/>
  <c r="M14" i="10"/>
  <c r="Q12" i="10"/>
  <c r="M20" i="10"/>
  <c r="Q16" i="10"/>
  <c r="M21" i="10"/>
  <c r="N13" i="10"/>
  <c r="N22" i="10"/>
  <c r="P10" i="10"/>
  <c r="P25" i="10"/>
  <c r="Q22" i="10"/>
  <c r="P7" i="10"/>
  <c r="N10" i="10"/>
  <c r="Q23" i="10"/>
  <c r="P12" i="10"/>
  <c r="P13" i="10"/>
  <c r="P19" i="10"/>
  <c r="M24" i="10"/>
  <c r="N19" i="10"/>
  <c r="M15" i="10"/>
  <c r="N25" i="10"/>
  <c r="N16" i="10"/>
  <c r="P22" i="10"/>
  <c r="Q6" i="10"/>
  <c r="Q18" i="10"/>
  <c r="M11" i="10"/>
  <c r="M6" i="10"/>
  <c r="P14" i="10"/>
  <c r="M7" i="10"/>
  <c r="M9" i="10"/>
  <c r="N18" i="10"/>
  <c r="N12" i="10"/>
  <c r="P24" i="10"/>
  <c r="Q7" i="10"/>
  <c r="Q10" i="10"/>
  <c r="N23" i="10"/>
  <c r="N9" i="10"/>
  <c r="M13" i="10"/>
  <c r="M18" i="10"/>
  <c r="N8" i="10"/>
  <c r="N17" i="10"/>
  <c r="P11" i="10"/>
  <c r="Q13" i="10"/>
  <c r="Q17" i="10"/>
  <c r="P9" i="10"/>
  <c r="Q15" i="10"/>
  <c r="Q21" i="10"/>
  <c r="N15" i="10"/>
  <c r="P8" i="10"/>
  <c r="M19" i="10"/>
  <c r="M16" i="10"/>
  <c r="N14" i="10"/>
  <c r="N11" i="10"/>
  <c r="P17" i="10"/>
  <c r="Q25" i="10"/>
  <c r="Q24" i="10"/>
  <c r="M12" i="10"/>
  <c r="M8" i="10"/>
  <c r="Q20" i="10"/>
  <c r="P21" i="10"/>
  <c r="N7" i="10"/>
  <c r="P16" i="10"/>
  <c r="M25" i="10"/>
  <c r="M10" i="10"/>
  <c r="N20" i="10"/>
  <c r="P6" i="10"/>
  <c r="P23" i="10"/>
  <c r="Q8" i="10"/>
  <c r="Q11" i="10"/>
  <c r="Q13" i="6"/>
  <c r="V12" i="6"/>
  <c r="W12" i="6" s="1"/>
  <c r="M12" i="6"/>
  <c r="Q24" i="6"/>
  <c r="N24" i="6"/>
  <c r="V13" i="6"/>
  <c r="W13" i="6" s="1"/>
  <c r="M13" i="6"/>
  <c r="Q22" i="6"/>
  <c r="P7" i="6"/>
  <c r="Q19" i="6"/>
  <c r="N22" i="6"/>
  <c r="N17" i="6"/>
  <c r="V17" i="6"/>
  <c r="W17" i="6" s="1"/>
  <c r="M17" i="6"/>
  <c r="Q12" i="6"/>
  <c r="V7" i="6"/>
  <c r="W7" i="6" s="1"/>
  <c r="M7" i="6"/>
  <c r="Q21" i="6"/>
  <c r="N10" i="6"/>
  <c r="N16" i="6"/>
  <c r="P13" i="6"/>
  <c r="P19" i="6"/>
  <c r="P9" i="6"/>
  <c r="N19" i="6"/>
  <c r="V20" i="6"/>
  <c r="W20" i="6" s="1"/>
  <c r="M20" i="6"/>
  <c r="Q15" i="6"/>
  <c r="N20" i="6"/>
  <c r="Q7" i="6"/>
  <c r="P6" i="6"/>
  <c r="V19" i="6"/>
  <c r="W19" i="6" s="1"/>
  <c r="M19" i="6"/>
  <c r="P12" i="6"/>
  <c r="V18" i="6"/>
  <c r="W18" i="6" s="1"/>
  <c r="M18" i="6"/>
  <c r="P24" i="6"/>
  <c r="V8" i="6"/>
  <c r="W8" i="6" s="1"/>
  <c r="M8" i="6"/>
  <c r="Q8" i="6"/>
  <c r="N6" i="6"/>
  <c r="N23" i="6"/>
  <c r="P25" i="6"/>
  <c r="P16" i="6"/>
  <c r="Q14" i="6"/>
  <c r="Q17" i="6"/>
  <c r="N12" i="6"/>
  <c r="V21" i="6"/>
  <c r="W21" i="6" s="1"/>
  <c r="M21" i="6"/>
  <c r="V14" i="6"/>
  <c r="W14" i="6" s="1"/>
  <c r="M14" i="6"/>
  <c r="V10" i="6"/>
  <c r="W10" i="6" s="1"/>
  <c r="M10" i="6"/>
  <c r="N9" i="6"/>
  <c r="N18" i="6"/>
  <c r="P8" i="6"/>
  <c r="P22" i="6"/>
  <c r="Q20" i="6"/>
  <c r="V6" i="6"/>
  <c r="W6" i="6" s="1"/>
  <c r="M6" i="6"/>
  <c r="Q6" i="6"/>
  <c r="V9" i="6"/>
  <c r="W9" i="6" s="1"/>
  <c r="M9" i="6"/>
  <c r="Q9" i="6"/>
  <c r="V15" i="6"/>
  <c r="W15" i="6" s="1"/>
  <c r="M15" i="6"/>
  <c r="P21" i="6"/>
  <c r="P17" i="6"/>
  <c r="V11" i="6"/>
  <c r="W11" i="6" s="1"/>
  <c r="M11" i="6"/>
  <c r="N14" i="6"/>
  <c r="P23" i="6"/>
  <c r="Q11" i="6"/>
  <c r="V25" i="6"/>
  <c r="W25" i="6" s="1"/>
  <c r="M25" i="6"/>
  <c r="Q25" i="6"/>
  <c r="V24" i="6"/>
  <c r="W24" i="6" s="1"/>
  <c r="M24" i="6"/>
  <c r="N11" i="6"/>
  <c r="P10" i="6"/>
  <c r="Q18" i="6"/>
  <c r="V16" i="6"/>
  <c r="W16" i="6" s="1"/>
  <c r="M16" i="6"/>
  <c r="N15" i="6"/>
  <c r="N8" i="6"/>
  <c r="P14" i="6"/>
  <c r="P11" i="6"/>
  <c r="Q10" i="6"/>
  <c r="N13" i="6"/>
  <c r="P15" i="6"/>
  <c r="N25" i="6"/>
  <c r="V23" i="6"/>
  <c r="W23" i="6" s="1"/>
  <c r="M23" i="6"/>
  <c r="Q23" i="6"/>
  <c r="V22" i="6"/>
  <c r="W22" i="6" s="1"/>
  <c r="M22" i="6"/>
  <c r="N21" i="6"/>
  <c r="N7" i="6"/>
  <c r="P20" i="6"/>
  <c r="P18" i="6"/>
  <c r="Q16" i="6"/>
  <c r="O10" i="5" l="1"/>
  <c r="F2" i="5"/>
  <c r="E3" i="5"/>
  <c r="F3" i="5" s="1"/>
  <c r="E2" i="5"/>
  <c r="E1" i="5"/>
  <c r="F1" i="5" s="1"/>
  <c r="O11" i="5" s="1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6" i="5"/>
  <c r="J10" i="5"/>
  <c r="L10" i="5" s="1"/>
  <c r="J11" i="5"/>
  <c r="L11" i="5" s="1"/>
  <c r="J13" i="5"/>
  <c r="L13" i="5" s="1"/>
  <c r="G7" i="5"/>
  <c r="G8" i="5"/>
  <c r="G9" i="5"/>
  <c r="G10" i="5"/>
  <c r="G11" i="5"/>
  <c r="G12" i="5"/>
  <c r="J12" i="5" s="1"/>
  <c r="L12" i="5" s="1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6" i="5"/>
  <c r="J6" i="5" s="1"/>
  <c r="L6" i="5" s="1"/>
  <c r="B7" i="5"/>
  <c r="B8" i="5"/>
  <c r="B9" i="5"/>
  <c r="B10" i="5"/>
  <c r="B11" i="5"/>
  <c r="B12" i="5"/>
  <c r="B13" i="5"/>
  <c r="B14" i="5"/>
  <c r="B15" i="5"/>
  <c r="J15" i="5" s="1"/>
  <c r="L15" i="5" s="1"/>
  <c r="B16" i="5"/>
  <c r="J16" i="5" s="1"/>
  <c r="L16" i="5" s="1"/>
  <c r="B17" i="5"/>
  <c r="J17" i="5" s="1"/>
  <c r="L17" i="5" s="1"/>
  <c r="B18" i="5"/>
  <c r="J18" i="5" s="1"/>
  <c r="L18" i="5" s="1"/>
  <c r="B19" i="5"/>
  <c r="B20" i="5"/>
  <c r="B21" i="5"/>
  <c r="B22" i="5"/>
  <c r="J22" i="5" s="1"/>
  <c r="L22" i="5" s="1"/>
  <c r="B23" i="5"/>
  <c r="J23" i="5" s="1"/>
  <c r="L23" i="5" s="1"/>
  <c r="B24" i="5"/>
  <c r="J24" i="5" s="1"/>
  <c r="L24" i="5" s="1"/>
  <c r="B25" i="5"/>
  <c r="J25" i="5" s="1"/>
  <c r="L25" i="5" s="1"/>
  <c r="B6" i="5"/>
  <c r="C21" i="4"/>
  <c r="C20" i="4"/>
  <c r="C10" i="4"/>
  <c r="E31" i="4" a="1"/>
  <c r="E32" i="4" a="1"/>
  <c r="C13" i="4" a="1"/>
  <c r="C14" i="4" a="1"/>
  <c r="C11" i="4" a="1"/>
  <c r="J14" i="5" l="1"/>
  <c r="L14" i="5" s="1"/>
  <c r="J21" i="5"/>
  <c r="L21" i="5" s="1"/>
  <c r="J9" i="5"/>
  <c r="L9" i="5" s="1"/>
  <c r="J20" i="5"/>
  <c r="L20" i="5" s="1"/>
  <c r="J8" i="5"/>
  <c r="L8" i="5" s="1"/>
  <c r="J19" i="5"/>
  <c r="L19" i="5" s="1"/>
  <c r="J7" i="5"/>
  <c r="L7" i="5" s="1"/>
  <c r="O6" i="5"/>
  <c r="O8" i="5"/>
  <c r="O13" i="5" s="1"/>
  <c r="C23" i="4"/>
  <c r="O5" i="5"/>
  <c r="O12" i="5"/>
  <c r="E31" i="4"/>
  <c r="E32" i="4"/>
  <c r="C14" i="4"/>
  <c r="C19" i="4" s="1"/>
  <c r="C13" i="4"/>
  <c r="C18" i="4" s="1"/>
  <c r="C11" i="4"/>
  <c r="C12" i="4" s="1"/>
  <c r="E12" i="4" s="1"/>
  <c r="E15" i="4" a="1"/>
  <c r="E15" i="4" l="1"/>
  <c r="E11" i="4"/>
  <c r="E13" i="4" s="1"/>
  <c r="E14" i="4" s="1"/>
  <c r="C2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<sst xmlns="http://schemas.openxmlformats.org/spreadsheetml/2006/main" count="297" uniqueCount="117">
  <si>
    <t>K</t>
  </si>
  <si>
    <t>d1</t>
  </si>
  <si>
    <t>d2</t>
  </si>
  <si>
    <t>C</t>
  </si>
  <si>
    <t>P</t>
  </si>
  <si>
    <t>S</t>
  </si>
  <si>
    <t>r</t>
  </si>
  <si>
    <t>q</t>
  </si>
  <si>
    <t>T</t>
  </si>
  <si>
    <t>sigma</t>
  </si>
  <si>
    <t>delta</t>
  </si>
  <si>
    <t>vega</t>
  </si>
  <si>
    <t>N(d1)</t>
  </si>
  <si>
    <t>N(d2)</t>
  </si>
  <si>
    <t>moneyness</t>
  </si>
  <si>
    <t>C-P</t>
  </si>
  <si>
    <t>S-K</t>
  </si>
  <si>
    <t>1. Given S,K,r,q,T and sigma, Calculate Call and Put price</t>
  </si>
  <si>
    <t>2. Put-Call Parity</t>
  </si>
  <si>
    <t>3. Given S,K,r,q,T and Call or Put price, Calculate sigma</t>
  </si>
  <si>
    <t>IV</t>
  </si>
  <si>
    <t>Call</t>
  </si>
  <si>
    <t>Put</t>
  </si>
  <si>
    <t>bid</t>
  </si>
  <si>
    <t>mid</t>
  </si>
  <si>
    <t>ask</t>
  </si>
  <si>
    <t>volumne</t>
  </si>
  <si>
    <t>volume</t>
  </si>
  <si>
    <t>50 days</t>
  </si>
  <si>
    <t>C-P = S e^(-qT) - K e^(-rT)</t>
  </si>
  <si>
    <t>C-P = F e^(-rT) - K e^(-rT)</t>
  </si>
  <si>
    <t>C-P = PV of F - K e^(-rT)</t>
  </si>
  <si>
    <t>X</t>
  </si>
  <si>
    <t>Y</t>
  </si>
  <si>
    <t>beta</t>
  </si>
  <si>
    <t>(X.T * X)^(-1)</t>
  </si>
  <si>
    <t>X.T * Y</t>
  </si>
  <si>
    <t>intercept</t>
  </si>
  <si>
    <t xml:space="preserve">normal equation </t>
  </si>
  <si>
    <t>y = a + bx + e</t>
  </si>
  <si>
    <t>Ey = a + b Ex</t>
  </si>
  <si>
    <t>-e^(-rT)</t>
  </si>
  <si>
    <t>PV of F</t>
  </si>
  <si>
    <t>A/360</t>
  </si>
  <si>
    <t>30/360</t>
  </si>
  <si>
    <t>B/252</t>
  </si>
  <si>
    <t>today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</si>
  <si>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</si>
  <si>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</si>
  <si>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</si>
  <si>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</si>
  <si>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</si>
  <si>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</si>
  <si>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</si>
  <si>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</si>
  <si>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</si>
  <si>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</si>
  <si>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</si>
  <si>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</si>
  <si>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</si>
  <si>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</si>
  <si>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</si>
  <si>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</si>
  <si>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</si>
  <si>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</si>
  <si>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</si>
  <si>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</si>
  <si>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</si>
  <si>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</si>
  <si>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</si>
  <si>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</si>
  <si>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</si>
  <si>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ImpVol(Spot As Double, Strike As Double, test_price As Double, Time As Double, IsCall As Boolean)</t>
  </si>
  <si>
    <t>BS(Spot As Double, Strike As Double, vol As Double, Time As Double, IsCall As Boolean)</t>
  </si>
  <si>
    <t>Price</t>
  </si>
  <si>
    <t>call delta</t>
  </si>
  <si>
    <t>put delta</t>
  </si>
  <si>
    <t>Market</t>
  </si>
  <si>
    <t>Calc</t>
  </si>
  <si>
    <t>d_one(Moneyness As Double, vol As Double, Time As Double)</t>
  </si>
  <si>
    <t>ImpVol2(Spot As Double, Strike As Double, r As Double, q As Double, test_price As Double, Time As Double, IsCall As Boolean)</t>
  </si>
  <si>
    <t>call</t>
  </si>
  <si>
    <t>put</t>
  </si>
  <si>
    <t>vol</t>
  </si>
  <si>
    <t>dS</t>
  </si>
  <si>
    <t>S+</t>
  </si>
  <si>
    <t>S-</t>
  </si>
  <si>
    <t>K-S</t>
  </si>
  <si>
    <t>V=</t>
  </si>
  <si>
    <t>f(S,K,r,q,vol,T)</t>
  </si>
  <si>
    <t>vol=</t>
  </si>
  <si>
    <t>Put-Call parity</t>
  </si>
  <si>
    <t>价格曲线：都保持不变，变S</t>
  </si>
  <si>
    <t>计算delta</t>
  </si>
  <si>
    <t>g(S,K,r,q,T,V)</t>
  </si>
  <si>
    <t>概念</t>
  </si>
  <si>
    <t>finite difference</t>
  </si>
  <si>
    <t>V+</t>
  </si>
  <si>
    <t>V-</t>
  </si>
  <si>
    <t>midprice</t>
  </si>
  <si>
    <t>根据市价求IV</t>
  </si>
  <si>
    <t>根据IV求价格，应该等于市价</t>
  </si>
  <si>
    <t>验证put call parity</t>
  </si>
  <si>
    <t>只看K=474的那一行</t>
  </si>
  <si>
    <t>用finite difference 计算 call的delta,gamma,vega,theta</t>
  </si>
  <si>
    <t>去掉流动性非常低的一些</t>
  </si>
  <si>
    <t>去线性回归求r，q</t>
  </si>
  <si>
    <t>右边是excel函数如何使用</t>
  </si>
  <si>
    <t>拿市价求IV</t>
  </si>
  <si>
    <t>拿IV求期权价格</t>
  </si>
  <si>
    <t>拿模型求delta</t>
  </si>
  <si>
    <t>没考虑r，q</t>
  </si>
  <si>
    <t>考虑了r，q</t>
  </si>
  <si>
    <t>call和put的IV更合理</t>
  </si>
  <si>
    <t>IV和价格在模型中可以互换</t>
  </si>
  <si>
    <t>diff</t>
  </si>
  <si>
    <t>现实生活中总有这些问题：r,q 估算成负值了；结果则偏大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</si>
</sst>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9" formatCode="0.0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4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4" borderId="4" xfId="0" applyFill="1" applyBorder="1"/>
    <xf numFmtId="0" fontId="0" fillId="4" borderId="6" xfId="0" applyFill="1" applyBorder="1"/>
    <xf numFmtId="0" fontId="0" fillId="0" borderId="7" xfId="0" applyBorder="1"/>
    <xf numFmtId="0" fontId="0" fillId="0" borderId="8" xfId="0" applyBorder="1"/>
    <xf numFmtId="0" fontId="0" fillId="2" borderId="4" xfId="0" applyFill="1" applyBorder="1"/>
    <xf numFmtId="0" fontId="0" fillId="4" borderId="0" xfId="0" applyFill="1" applyBorder="1"/>
    <xf numFmtId="0" fontId="0" fillId="2" borderId="6" xfId="0" applyFill="1" applyBorder="1"/>
    <xf numFmtId="0" fontId="0" fillId="4" borderId="7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0" xfId="0" quotePrefix="1" applyFill="1" applyBorder="1"/>
    <xf numFmtId="0" fontId="0" fillId="0" borderId="6" xfId="0" applyBorder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0" fontId="0" fillId="0" borderId="0" xfId="0" quotePrefix="1"/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ill="1" applyBorder="1" applyAlignment="1"/>
    <xf numFmtId="0" fontId="0" fillId="0" borderId="9" xfId="0" applyFill="1" applyBorder="1" applyAlignment="1"/>
    <xf numFmtId="0" fontId="3" fillId="0" borderId="10" xfId="0" applyFont="1" applyFill="1" applyBorder="1" applyAlignment="1">
      <alignment horizontal="center"/>
    </xf>
    <xf numFmtId="0" fontId="3" fillId="0" borderId="10" xfId="0" applyFont="1" applyFill="1" applyBorder="1" applyAlignment="1">
      <alignment horizontal="centerContinuous"/>
    </xf>
    <xf numFmtId="10" fontId="0" fillId="0" borderId="0" xfId="1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11" fontId="0" fillId="0" borderId="0" xfId="0" applyNumberFormat="1"/>
    <xf numFmtId="165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0" xfId="0" applyAlignment="1">
      <alignment horizontal="right"/>
    </xf>
    <xf numFmtId="9" fontId="0" fillId="0" borderId="0" xfId="0" applyNumberFormat="1"/>
    <xf numFmtId="0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5" borderId="0" xfId="0" applyFill="1" applyAlignment="1">
      <alignment horizontal="center" wrapText="1"/>
    </xf>
    <xf numFmtId="0" fontId="0" fillId="5" borderId="0" xfId="0" applyFill="1" applyAlignment="1">
      <alignment horizontal="center" vertical="center" wrapText="1"/>
    </xf>
    <xf numFmtId="0" fontId="0" fillId="0" borderId="0" xfId="0" applyAlignment="1">
      <alignment vertical="center"/>
    </xf>
    <xf numFmtId="169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'r,q (2)'!$L$5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'r,q (2)'!$K$6:$K$21</c:f>
              <c:numCache>
                <c:formatCode>0.00</c:formatCode>
                <c:ptCount val="16"/>
                <c:pt idx="0">
                  <c:v>465</c:v>
                </c:pt>
                <c:pt idx="1">
                  <c:v>466</c:v>
                </c:pt>
                <c:pt idx="2">
                  <c:v>467</c:v>
                </c:pt>
                <c:pt idx="3">
                  <c:v>468</c:v>
                </c:pt>
                <c:pt idx="4">
                  <c:v>470</c:v>
                </c:pt>
                <c:pt idx="5">
                  <c:v>471</c:v>
                </c:pt>
                <c:pt idx="6">
                  <c:v>472</c:v>
                </c:pt>
                <c:pt idx="7">
                  <c:v>474</c:v>
                </c:pt>
                <c:pt idx="8">
                  <c:v>475</c:v>
                </c:pt>
                <c:pt idx="9">
                  <c:v>476</c:v>
                </c:pt>
                <c:pt idx="10">
                  <c:v>477</c:v>
                </c:pt>
                <c:pt idx="11">
                  <c:v>478</c:v>
                </c:pt>
                <c:pt idx="12">
                  <c:v>479</c:v>
                </c:pt>
                <c:pt idx="13">
                  <c:v>480</c:v>
                </c:pt>
                <c:pt idx="14">
                  <c:v>481</c:v>
                </c:pt>
                <c:pt idx="15">
                  <c:v>482</c:v>
                </c:pt>
              </c:numCache>
            </c:numRef>
          </c:xVal>
          <c:yVal>
            <c:numRef>
              <c:f>'r,q (2)'!$L$6:$L$21</c:f>
              <c:numCache>
                <c:formatCode>0.00</c:formatCode>
                <c:ptCount val="16"/>
                <c:pt idx="0">
                  <c:v>11.72</c:v>
                </c:pt>
                <c:pt idx="1">
                  <c:v>10.725</c:v>
                </c:pt>
                <c:pt idx="2">
                  <c:v>9.7000000000000028</c:v>
                </c:pt>
                <c:pt idx="3">
                  <c:v>8.7300000000000022</c:v>
                </c:pt>
                <c:pt idx="4">
                  <c:v>6.6349999999999998</c:v>
                </c:pt>
                <c:pt idx="5">
                  <c:v>5.6400000000000006</c:v>
                </c:pt>
                <c:pt idx="6">
                  <c:v>4.7250000000000014</c:v>
                </c:pt>
                <c:pt idx="7">
                  <c:v>2.7249999999999996</c:v>
                </c:pt>
                <c:pt idx="8">
                  <c:v>1.7200000000000006</c:v>
                </c:pt>
                <c:pt idx="9">
                  <c:v>0.72000000000000064</c:v>
                </c:pt>
                <c:pt idx="10">
                  <c:v>-0.27999999999999936</c:v>
                </c:pt>
                <c:pt idx="11">
                  <c:v>-1.2799999999999994</c:v>
                </c:pt>
                <c:pt idx="12">
                  <c:v>-2.2800000000000011</c:v>
                </c:pt>
                <c:pt idx="13">
                  <c:v>-3.2800000000000011</c:v>
                </c:pt>
                <c:pt idx="14">
                  <c:v>-4.3349999999999991</c:v>
                </c:pt>
                <c:pt idx="15">
                  <c:v>-5.3449999999999989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CC-4FBE-AEA7-87B59C655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46624"/>
        <c:axId val="246947872"/>
      </c:scatterChart>
      <c:valAx>
        <c:axId val="24694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47872"/>
        <c:crosses val="autoZero"/>
        <c:crossBetween val="midCat"/>
      </c:valAx>
      <c:valAx>
        <c:axId val="24694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46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价格曲线!$J$5</c:f>
              <c:strCache>
                <c:ptCount val="1"/>
                <c:pt idx="0">
                  <c:v>S-K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价格曲线!$I$6:$I$23</c:f>
              <c:numCache>
                <c:formatCode>General</c:formatCode>
                <c:ptCount val="18"/>
                <c:pt idx="0">
                  <c:v>466</c:v>
                </c:pt>
                <c:pt idx="1">
                  <c:v>467</c:v>
                </c:pt>
                <c:pt idx="2">
                  <c:v>468</c:v>
                </c:pt>
                <c:pt idx="3">
                  <c:v>469</c:v>
                </c:pt>
                <c:pt idx="4">
                  <c:v>470</c:v>
                </c:pt>
                <c:pt idx="5">
                  <c:v>471</c:v>
                </c:pt>
                <c:pt idx="6">
                  <c:v>472</c:v>
                </c:pt>
                <c:pt idx="7">
                  <c:v>473</c:v>
                </c:pt>
                <c:pt idx="8">
                  <c:v>474</c:v>
                </c:pt>
                <c:pt idx="9">
                  <c:v>475</c:v>
                </c:pt>
                <c:pt idx="10">
                  <c:v>476</c:v>
                </c:pt>
                <c:pt idx="11">
                  <c:v>477</c:v>
                </c:pt>
                <c:pt idx="12">
                  <c:v>478</c:v>
                </c:pt>
                <c:pt idx="13">
                  <c:v>479</c:v>
                </c:pt>
                <c:pt idx="14">
                  <c:v>480</c:v>
                </c:pt>
                <c:pt idx="15">
                  <c:v>481</c:v>
                </c:pt>
                <c:pt idx="16">
                  <c:v>482</c:v>
                </c:pt>
                <c:pt idx="17">
                  <c:v>483</c:v>
                </c:pt>
              </c:numCache>
            </c:numRef>
          </c:cat>
          <c:val>
            <c:numRef>
              <c:f>价格曲线!$J$6:$J$23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</c:v>
                </c:pt>
                <c:pt idx="11">
                  <c:v>12</c:v>
                </c:pt>
                <c:pt idx="12">
                  <c:v>16</c:v>
                </c:pt>
                <c:pt idx="13">
                  <c:v>20</c:v>
                </c:pt>
                <c:pt idx="14">
                  <c:v>24</c:v>
                </c:pt>
                <c:pt idx="15">
                  <c:v>28</c:v>
                </c:pt>
                <c:pt idx="16">
                  <c:v>32</c:v>
                </c:pt>
                <c:pt idx="17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EC-4CEB-B63F-776466EA5909}"/>
            </c:ext>
          </c:extLst>
        </c:ser>
        <c:ser>
          <c:idx val="1"/>
          <c:order val="1"/>
          <c:tx>
            <c:strRef>
              <c:f>价格曲线!$K$5</c:f>
              <c:strCache>
                <c:ptCount val="1"/>
                <c:pt idx="0">
                  <c:v>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价格曲线!$I$6:$I$23</c:f>
              <c:numCache>
                <c:formatCode>General</c:formatCode>
                <c:ptCount val="18"/>
                <c:pt idx="0">
                  <c:v>466</c:v>
                </c:pt>
                <c:pt idx="1">
                  <c:v>467</c:v>
                </c:pt>
                <c:pt idx="2">
                  <c:v>468</c:v>
                </c:pt>
                <c:pt idx="3">
                  <c:v>469</c:v>
                </c:pt>
                <c:pt idx="4">
                  <c:v>470</c:v>
                </c:pt>
                <c:pt idx="5">
                  <c:v>471</c:v>
                </c:pt>
                <c:pt idx="6">
                  <c:v>472</c:v>
                </c:pt>
                <c:pt idx="7">
                  <c:v>473</c:v>
                </c:pt>
                <c:pt idx="8">
                  <c:v>474</c:v>
                </c:pt>
                <c:pt idx="9">
                  <c:v>475</c:v>
                </c:pt>
                <c:pt idx="10">
                  <c:v>476</c:v>
                </c:pt>
                <c:pt idx="11">
                  <c:v>477</c:v>
                </c:pt>
                <c:pt idx="12">
                  <c:v>478</c:v>
                </c:pt>
                <c:pt idx="13">
                  <c:v>479</c:v>
                </c:pt>
                <c:pt idx="14">
                  <c:v>480</c:v>
                </c:pt>
                <c:pt idx="15">
                  <c:v>481</c:v>
                </c:pt>
                <c:pt idx="16">
                  <c:v>482</c:v>
                </c:pt>
                <c:pt idx="17">
                  <c:v>483</c:v>
                </c:pt>
              </c:numCache>
            </c:numRef>
          </c:cat>
          <c:val>
            <c:numRef>
              <c:f>价格曲线!$K$6:$K$23</c:f>
              <c:numCache>
                <c:formatCode>General</c:formatCode>
                <c:ptCount val="18"/>
                <c:pt idx="0">
                  <c:v>1.3534301175255745</c:v>
                </c:pt>
                <c:pt idx="1">
                  <c:v>1.8989130986866438</c:v>
                </c:pt>
                <c:pt idx="2">
                  <c:v>2.6034474201795512</c:v>
                </c:pt>
                <c:pt idx="3">
                  <c:v>3.4919275536624768</c:v>
                </c:pt>
                <c:pt idx="4">
                  <c:v>4.5872119421507298</c:v>
                </c:pt>
                <c:pt idx="5">
                  <c:v>5.9086818671599177</c:v>
                </c:pt>
                <c:pt idx="6">
                  <c:v>7.4709993261432555</c:v>
                </c:pt>
                <c:pt idx="7">
                  <c:v>9.2832229281134691</c:v>
                </c:pt>
                <c:pt idx="8">
                  <c:v>11.34811892520967</c:v>
                </c:pt>
                <c:pt idx="9">
                  <c:v>13.662288616298436</c:v>
                </c:pt>
                <c:pt idx="10">
                  <c:v>16.216499538847902</c:v>
                </c:pt>
                <c:pt idx="11">
                  <c:v>18.996398160312268</c:v>
                </c:pt>
                <c:pt idx="12">
                  <c:v>21.983703470630584</c:v>
                </c:pt>
                <c:pt idx="13">
                  <c:v>25.157387246213197</c:v>
                </c:pt>
                <c:pt idx="14">
                  <c:v>28.494917660080322</c:v>
                </c:pt>
                <c:pt idx="15">
                  <c:v>31.973433842734003</c:v>
                </c:pt>
                <c:pt idx="16">
                  <c:v>35.570755960826766</c:v>
                </c:pt>
                <c:pt idx="17">
                  <c:v>39.26617395871115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EC-4CEB-B63F-776466EA5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59808"/>
        <c:axId val="36357728"/>
      </c:lineChart>
      <c:catAx>
        <c:axId val="3635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57728"/>
        <c:crosses val="autoZero"/>
        <c:auto val="1"/>
        <c:lblAlgn val="ctr"/>
        <c:lblOffset val="100"/>
        <c:noMultiLvlLbl val="0"/>
      </c:catAx>
      <c:valAx>
        <c:axId val="3635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5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价格曲线!$L$5</c:f>
              <c:strCache>
                <c:ptCount val="1"/>
                <c:pt idx="0">
                  <c:v>K-S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价格曲线!$I$6:$I$23</c:f>
              <c:numCache>
                <c:formatCode>General</c:formatCode>
                <c:ptCount val="18"/>
                <c:pt idx="0">
                  <c:v>466</c:v>
                </c:pt>
                <c:pt idx="1">
                  <c:v>467</c:v>
                </c:pt>
                <c:pt idx="2">
                  <c:v>468</c:v>
                </c:pt>
                <c:pt idx="3">
                  <c:v>469</c:v>
                </c:pt>
                <c:pt idx="4">
                  <c:v>470</c:v>
                </c:pt>
                <c:pt idx="5">
                  <c:v>471</c:v>
                </c:pt>
                <c:pt idx="6">
                  <c:v>472</c:v>
                </c:pt>
                <c:pt idx="7">
                  <c:v>473</c:v>
                </c:pt>
                <c:pt idx="8">
                  <c:v>474</c:v>
                </c:pt>
                <c:pt idx="9">
                  <c:v>475</c:v>
                </c:pt>
                <c:pt idx="10">
                  <c:v>476</c:v>
                </c:pt>
                <c:pt idx="11">
                  <c:v>477</c:v>
                </c:pt>
                <c:pt idx="12">
                  <c:v>478</c:v>
                </c:pt>
                <c:pt idx="13">
                  <c:v>479</c:v>
                </c:pt>
                <c:pt idx="14">
                  <c:v>480</c:v>
                </c:pt>
                <c:pt idx="15">
                  <c:v>481</c:v>
                </c:pt>
                <c:pt idx="16">
                  <c:v>482</c:v>
                </c:pt>
                <c:pt idx="17">
                  <c:v>483</c:v>
                </c:pt>
              </c:numCache>
            </c:numRef>
          </c:cat>
          <c:val>
            <c:numRef>
              <c:f>价格曲线!$L$6:$L$23</c:f>
              <c:numCache>
                <c:formatCode>General</c:formatCode>
                <c:ptCount val="18"/>
                <c:pt idx="0">
                  <c:v>32</c:v>
                </c:pt>
                <c:pt idx="1">
                  <c:v>28</c:v>
                </c:pt>
                <c:pt idx="2">
                  <c:v>24</c:v>
                </c:pt>
                <c:pt idx="3">
                  <c:v>20</c:v>
                </c:pt>
                <c:pt idx="4">
                  <c:v>16</c:v>
                </c:pt>
                <c:pt idx="5">
                  <c:v>12</c:v>
                </c:pt>
                <c:pt idx="6">
                  <c:v>8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98-4608-8CB9-A45B825CF46F}"/>
            </c:ext>
          </c:extLst>
        </c:ser>
        <c:ser>
          <c:idx val="1"/>
          <c:order val="1"/>
          <c:tx>
            <c:strRef>
              <c:f>价格曲线!$M$5</c:f>
              <c:strCache>
                <c:ptCount val="1"/>
                <c:pt idx="0">
                  <c:v>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价格曲线!$I$6:$I$23</c:f>
              <c:numCache>
                <c:formatCode>General</c:formatCode>
                <c:ptCount val="18"/>
                <c:pt idx="0">
                  <c:v>466</c:v>
                </c:pt>
                <c:pt idx="1">
                  <c:v>467</c:v>
                </c:pt>
                <c:pt idx="2">
                  <c:v>468</c:v>
                </c:pt>
                <c:pt idx="3">
                  <c:v>469</c:v>
                </c:pt>
                <c:pt idx="4">
                  <c:v>470</c:v>
                </c:pt>
                <c:pt idx="5">
                  <c:v>471</c:v>
                </c:pt>
                <c:pt idx="6">
                  <c:v>472</c:v>
                </c:pt>
                <c:pt idx="7">
                  <c:v>473</c:v>
                </c:pt>
                <c:pt idx="8">
                  <c:v>474</c:v>
                </c:pt>
                <c:pt idx="9">
                  <c:v>475</c:v>
                </c:pt>
                <c:pt idx="10">
                  <c:v>476</c:v>
                </c:pt>
                <c:pt idx="11">
                  <c:v>477</c:v>
                </c:pt>
                <c:pt idx="12">
                  <c:v>478</c:v>
                </c:pt>
                <c:pt idx="13">
                  <c:v>479</c:v>
                </c:pt>
                <c:pt idx="14">
                  <c:v>480</c:v>
                </c:pt>
                <c:pt idx="15">
                  <c:v>481</c:v>
                </c:pt>
                <c:pt idx="16">
                  <c:v>482</c:v>
                </c:pt>
                <c:pt idx="17">
                  <c:v>483</c:v>
                </c:pt>
              </c:numCache>
            </c:numRef>
          </c:cat>
          <c:val>
            <c:numRef>
              <c:f>价格曲线!$M$6:$M$23</c:f>
              <c:numCache>
                <c:formatCode>General</c:formatCode>
                <c:ptCount val="18"/>
                <c:pt idx="0">
                  <c:v>31.351461022360738</c:v>
                </c:pt>
                <c:pt idx="1">
                  <c:v>27.874585422250284</c:v>
                </c:pt>
                <c:pt idx="2">
                  <c:v>24.556761162471666</c:v>
                </c:pt>
                <c:pt idx="3">
                  <c:v>21.422882714683066</c:v>
                </c:pt>
                <c:pt idx="4">
                  <c:v>18.495808521899793</c:v>
                </c:pt>
                <c:pt idx="5">
                  <c:v>15.794919865637459</c:v>
                </c:pt>
                <c:pt idx="6">
                  <c:v>13.334878743349272</c:v>
                </c:pt>
                <c:pt idx="7">
                  <c:v>11.12474376404796</c:v>
                </c:pt>
                <c:pt idx="8">
                  <c:v>9.167281179872635</c:v>
                </c:pt>
                <c:pt idx="9">
                  <c:v>7.4590922896898784</c:v>
                </c:pt>
                <c:pt idx="10">
                  <c:v>5.9909446309678192</c:v>
                </c:pt>
                <c:pt idx="11">
                  <c:v>4.7484846711606599</c:v>
                </c:pt>
                <c:pt idx="12">
                  <c:v>3.7134314002074489</c:v>
                </c:pt>
                <c:pt idx="13">
                  <c:v>2.86475659451854</c:v>
                </c:pt>
                <c:pt idx="14">
                  <c:v>2.1799284271141399</c:v>
                </c:pt>
                <c:pt idx="15">
                  <c:v>1.636086028496297</c:v>
                </c:pt>
                <c:pt idx="16">
                  <c:v>1.2110495653175362</c:v>
                </c:pt>
                <c:pt idx="17">
                  <c:v>0.88410898193039289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98-4608-8CB9-A45B825CF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3853408"/>
        <c:axId val="403857984"/>
      </c:lineChart>
      <c:catAx>
        <c:axId val="40385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857984"/>
        <c:crosses val="autoZero"/>
        <c:auto val="1"/>
        <c:lblAlgn val="ctr"/>
        <c:lblOffset val="100"/>
        <c:noMultiLvlLbl val="0"/>
      </c:catAx>
      <c:valAx>
        <c:axId val="40385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85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159892</xdr:colOff>
      <xdr:row>7</xdr:row>
      <xdr:rowOff>28574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BCE653C-C000-448D-8902-401D9BBA4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742292" cy="13620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19049</xdr:rowOff>
    </xdr:from>
    <xdr:to>
      <xdr:col>19</xdr:col>
      <xdr:colOff>171450</xdr:colOff>
      <xdr:row>34</xdr:row>
      <xdr:rowOff>155110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FC511FF-7D18-4515-94A1-B6E9ED895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43049"/>
          <a:ext cx="11753850" cy="50890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23</xdr:row>
      <xdr:rowOff>109537</xdr:rowOff>
    </xdr:from>
    <xdr:to>
      <xdr:col>15</xdr:col>
      <xdr:colOff>552450</xdr:colOff>
      <xdr:row>37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1FD4C4-69C0-4EE7-AEFD-52E9D9A5F6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219075</xdr:colOff>
      <xdr:row>1</xdr:row>
      <xdr:rowOff>185737</xdr:rowOff>
    </xdr:from>
    <xdr:to>
      <xdr:col>22</xdr:col>
      <xdr:colOff>523875</xdr:colOff>
      <xdr:row>16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B80188-82AB-4FCB-8122-28BCEC3B27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223837</xdr:colOff>
      <xdr:row>19</xdr:row>
      <xdr:rowOff>71437</xdr:rowOff>
    </xdr:from>
    <xdr:to>
      <xdr:col>22</xdr:col>
      <xdr:colOff>528637</xdr:colOff>
      <xdr:row>33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93AA39-0637-4201-A038-4DD07C323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200024</xdr:colOff>
      <xdr:row>43</xdr:row>
      <xdr:rowOff>76966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17AE91C-12CB-4A75-8579-C50A7DC7B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001624" cy="82684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E27B-1B99-4F11-9603-0197024C245C}">
  <dimension ref="A3:H25"/>
  <sheetViews>
    <sheetView tabSelected="1" workbookViewId="0">
      <selection activeCell="L29" sqref="L29"/>
    </sheetView>
  </sheetViews>
  <sheetFormatPr defaultRowHeight="15" x14ac:dyDescent="0.25"/>
  <sheetData>
    <row r="3" spans="1:7" x14ac:dyDescent="0.25">
      <c r="B3" t="s">
        <v>95</v>
      </c>
      <c r="C3">
        <v>1</v>
      </c>
      <c r="D3" s="35" t="s">
        <v>88</v>
      </c>
      <c r="E3" t="s">
        <v>89</v>
      </c>
    </row>
    <row r="5" spans="1:7" x14ac:dyDescent="0.25">
      <c r="D5" s="35" t="s">
        <v>90</v>
      </c>
      <c r="E5" t="s">
        <v>94</v>
      </c>
    </row>
    <row r="8" spans="1:7" x14ac:dyDescent="0.25">
      <c r="B8" t="s">
        <v>95</v>
      </c>
      <c r="C8">
        <v>2</v>
      </c>
      <c r="D8" t="s">
        <v>91</v>
      </c>
    </row>
    <row r="10" spans="1:7" x14ac:dyDescent="0.25">
      <c r="C10">
        <v>3</v>
      </c>
      <c r="D10" t="s">
        <v>92</v>
      </c>
    </row>
    <row r="12" spans="1:7" x14ac:dyDescent="0.25">
      <c r="A12" t="s">
        <v>5</v>
      </c>
      <c r="B12">
        <v>100</v>
      </c>
      <c r="C12">
        <v>4</v>
      </c>
      <c r="D12" t="s">
        <v>93</v>
      </c>
    </row>
    <row r="13" spans="1:7" x14ac:dyDescent="0.25">
      <c r="A13" t="s">
        <v>0</v>
      </c>
      <c r="B13">
        <v>100</v>
      </c>
    </row>
    <row r="14" spans="1:7" x14ac:dyDescent="0.25">
      <c r="A14" t="s">
        <v>6</v>
      </c>
      <c r="B14">
        <v>0</v>
      </c>
    </row>
    <row r="15" spans="1:7" x14ac:dyDescent="0.25">
      <c r="A15" t="s">
        <v>7</v>
      </c>
      <c r="B15">
        <v>0</v>
      </c>
    </row>
    <row r="16" spans="1:7" x14ac:dyDescent="0.25">
      <c r="A16" t="s">
        <v>83</v>
      </c>
      <c r="B16" s="36">
        <v>0.2</v>
      </c>
      <c r="E16" s="39" t="s">
        <v>12</v>
      </c>
      <c r="F16" s="39"/>
      <c r="G16" cm="1">
        <f t="array" ref="G16">_xlfn.NORM.S.DIST(d_one(B12/B13,B16,B17),TRUE)</f>
        <v>0.53982783727702899</v>
      </c>
    </row>
    <row r="17" spans="1:8" x14ac:dyDescent="0.25">
      <c r="A17" t="s">
        <v>8</v>
      </c>
      <c r="B17">
        <v>1</v>
      </c>
    </row>
    <row r="19" spans="1:8" x14ac:dyDescent="0.25">
      <c r="E19" s="39" t="s">
        <v>96</v>
      </c>
      <c r="F19" s="39"/>
    </row>
    <row r="20" spans="1:8" x14ac:dyDescent="0.25">
      <c r="E20" t="s">
        <v>84</v>
      </c>
      <c r="F20" s="30">
        <v>1E-4</v>
      </c>
    </row>
    <row r="21" spans="1:8" x14ac:dyDescent="0.25">
      <c r="E21" t="s">
        <v>85</v>
      </c>
      <c r="F21" s="30">
        <f>B12+F20</f>
        <v>100.0001</v>
      </c>
      <c r="G21" t="s">
        <v>97</v>
      </c>
      <c r="H21" cm="1">
        <f t="array" ref="H21">bs(F21,B13,B16,B17,TRUE)</f>
        <v>7.9656332159159602</v>
      </c>
    </row>
    <row r="22" spans="1:8" x14ac:dyDescent="0.25">
      <c r="E22" t="s">
        <v>86</v>
      </c>
      <c r="F22" s="30">
        <f>B12-F20</f>
        <v>99.999899999999997</v>
      </c>
      <c r="G22" t="s">
        <v>98</v>
      </c>
      <c r="H22" cm="1">
        <f t="array" ref="H22">bs(F22,B13,B16,B17,TRUE)</f>
        <v>7.9655252503366905</v>
      </c>
    </row>
    <row r="23" spans="1:8" x14ac:dyDescent="0.25">
      <c r="G23" t="s">
        <v>10</v>
      </c>
      <c r="H23" s="37">
        <f>(H21-H22)/(2*F20)</f>
        <v>0.53982789634865469</v>
      </c>
    </row>
    <row r="25" spans="1:8" x14ac:dyDescent="0.25">
      <c r="F25" s="31"/>
    </row>
  </sheetData>
  <mergeCells count="2">
    <mergeCell ref="E19:F19"/>
    <mergeCell ref="E16:F1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816AE-3C0D-4AED-B438-2531C292032E}">
  <sheetPr codeName="Sheet4"/>
  <dimension ref="B2:G32"/>
  <sheetViews>
    <sheetView workbookViewId="0">
      <selection activeCell="G33" sqref="G33"/>
    </sheetView>
  </sheetViews>
  <sheetFormatPr defaultRowHeight="15" x14ac:dyDescent="0.25"/>
  <sheetData>
    <row r="2" spans="2:7" x14ac:dyDescent="0.25">
      <c r="B2" s="32" t="s">
        <v>17</v>
      </c>
      <c r="C2" s="33"/>
      <c r="D2" s="33"/>
      <c r="E2" s="33"/>
      <c r="F2" s="33"/>
      <c r="G2" s="34"/>
    </row>
    <row r="3" spans="2:7" x14ac:dyDescent="0.25">
      <c r="B3" s="8" t="s">
        <v>5</v>
      </c>
      <c r="C3" s="2">
        <v>50</v>
      </c>
      <c r="D3" s="2"/>
      <c r="E3" s="2"/>
      <c r="F3" s="2"/>
      <c r="G3" s="3"/>
    </row>
    <row r="4" spans="2:7" x14ac:dyDescent="0.25">
      <c r="B4" s="8" t="s">
        <v>0</v>
      </c>
      <c r="C4" s="2">
        <v>50</v>
      </c>
      <c r="D4" s="2"/>
      <c r="E4" s="2"/>
      <c r="F4" s="2"/>
      <c r="G4" s="3"/>
    </row>
    <row r="5" spans="2:7" x14ac:dyDescent="0.25">
      <c r="B5" s="8" t="s">
        <v>6</v>
      </c>
      <c r="C5" s="2">
        <v>0</v>
      </c>
      <c r="D5" s="2"/>
      <c r="E5" s="2"/>
      <c r="F5" s="2"/>
      <c r="G5" s="3"/>
    </row>
    <row r="6" spans="2:7" x14ac:dyDescent="0.25">
      <c r="B6" s="8" t="s">
        <v>7</v>
      </c>
      <c r="C6" s="2">
        <v>0</v>
      </c>
      <c r="D6" s="2"/>
      <c r="E6" s="2"/>
      <c r="F6" s="2"/>
      <c r="G6" s="3"/>
    </row>
    <row r="7" spans="2:7" x14ac:dyDescent="0.25">
      <c r="B7" s="8" t="s">
        <v>8</v>
      </c>
      <c r="C7" s="2">
        <v>1</v>
      </c>
      <c r="D7" s="2"/>
      <c r="E7" s="2"/>
      <c r="F7" s="2"/>
      <c r="G7" s="3"/>
    </row>
    <row r="8" spans="2:7" x14ac:dyDescent="0.25">
      <c r="B8" s="8" t="s">
        <v>9</v>
      </c>
      <c r="C8" s="2">
        <v>0.2</v>
      </c>
      <c r="D8" s="2"/>
      <c r="E8" s="2"/>
      <c r="F8" s="2"/>
      <c r="G8" s="3"/>
    </row>
    <row r="9" spans="2:7" x14ac:dyDescent="0.25">
      <c r="B9" s="1"/>
      <c r="C9" s="2"/>
      <c r="D9" s="2"/>
      <c r="E9" s="2"/>
      <c r="F9" s="2"/>
      <c r="G9" s="3"/>
    </row>
    <row r="10" spans="2:7" x14ac:dyDescent="0.25">
      <c r="B10" s="12" t="s">
        <v>14</v>
      </c>
      <c r="C10" s="2">
        <f>C3/C4</f>
        <v>1</v>
      </c>
      <c r="D10" s="2"/>
      <c r="E10" s="2"/>
      <c r="F10" s="2"/>
      <c r="G10" s="3"/>
    </row>
    <row r="11" spans="2:7" x14ac:dyDescent="0.25">
      <c r="B11" s="12" t="s">
        <v>1</v>
      </c>
      <c r="C11" s="2" cm="1">
        <f t="array" ref="C11">d_one(C10,C8,C7)</f>
        <v>0.1</v>
      </c>
      <c r="D11" s="13" t="s">
        <v>12</v>
      </c>
      <c r="E11" s="2">
        <f>_xlfn.NORM.S.DIST(C11,TRUE)</f>
        <v>0.53982783727702899</v>
      </c>
      <c r="F11" s="2"/>
      <c r="G11" s="3"/>
    </row>
    <row r="12" spans="2:7" x14ac:dyDescent="0.25">
      <c r="B12" s="12" t="s">
        <v>2</v>
      </c>
      <c r="C12" s="2">
        <f>C11-C8*SQRT(C7)</f>
        <v>-0.1</v>
      </c>
      <c r="D12" s="14" t="s">
        <v>13</v>
      </c>
      <c r="E12" s="2">
        <f>_xlfn.NORM.S.DIST(C12,TRUE)</f>
        <v>0.46017216272297101</v>
      </c>
      <c r="F12" s="2"/>
      <c r="G12" s="3"/>
    </row>
    <row r="13" spans="2:7" x14ac:dyDescent="0.25">
      <c r="B13" s="4" t="s">
        <v>3</v>
      </c>
      <c r="C13" s="2" cm="1">
        <f t="array" ref="C13">bs(C3,C4,C8,C7,TRUE)</f>
        <v>3.9827896165135601</v>
      </c>
      <c r="D13" s="9" t="s">
        <v>10</v>
      </c>
      <c r="E13" s="2">
        <f>E11</f>
        <v>0.53982783727702899</v>
      </c>
      <c r="F13" s="2"/>
      <c r="G13" s="3"/>
    </row>
    <row r="14" spans="2:7" x14ac:dyDescent="0.25">
      <c r="B14" s="4" t="s">
        <v>4</v>
      </c>
      <c r="C14" s="2" cm="1">
        <f t="array" ref="C14">bs(C3,C4,C8,C7,FALSE)</f>
        <v>3.9827896165135601</v>
      </c>
      <c r="D14" s="9" t="s">
        <v>10</v>
      </c>
      <c r="E14" s="2">
        <f>E13-1</f>
        <v>-0.46017216272297101</v>
      </c>
      <c r="F14" s="2"/>
      <c r="G14" s="3"/>
    </row>
    <row r="15" spans="2:7" x14ac:dyDescent="0.25">
      <c r="B15" s="15"/>
      <c r="C15" s="6"/>
      <c r="D15" s="11" t="s">
        <v>11</v>
      </c>
      <c r="E15" s="6" cm="1">
        <f t="array" ref="E15">vega(C3,C7,C11)</f>
        <v>19.847627375713653</v>
      </c>
      <c r="F15" s="6"/>
      <c r="G15" s="7"/>
    </row>
    <row r="17" spans="2:7" x14ac:dyDescent="0.25">
      <c r="B17" s="32" t="s">
        <v>18</v>
      </c>
      <c r="C17" s="33"/>
      <c r="D17" s="33"/>
      <c r="E17" s="33"/>
      <c r="F17" s="33"/>
      <c r="G17" s="34"/>
    </row>
    <row r="18" spans="2:7" x14ac:dyDescent="0.25">
      <c r="B18" s="1" t="s">
        <v>3</v>
      </c>
      <c r="C18" s="2">
        <f>C13</f>
        <v>3.9827896165135601</v>
      </c>
      <c r="D18" s="2"/>
      <c r="E18" s="2"/>
      <c r="F18" s="2"/>
      <c r="G18" s="3"/>
    </row>
    <row r="19" spans="2:7" x14ac:dyDescent="0.25">
      <c r="B19" s="1" t="s">
        <v>4</v>
      </c>
      <c r="C19" s="2">
        <f>C14</f>
        <v>3.9827896165135601</v>
      </c>
      <c r="D19" s="2"/>
      <c r="E19" s="2"/>
      <c r="F19" s="2"/>
      <c r="G19" s="3"/>
    </row>
    <row r="20" spans="2:7" x14ac:dyDescent="0.25">
      <c r="B20" s="1" t="s">
        <v>5</v>
      </c>
      <c r="C20" s="2">
        <f>C3</f>
        <v>50</v>
      </c>
      <c r="D20" s="2"/>
      <c r="E20" s="2"/>
      <c r="F20" s="2"/>
      <c r="G20" s="3"/>
    </row>
    <row r="21" spans="2:7" x14ac:dyDescent="0.25">
      <c r="B21" s="1" t="s">
        <v>0</v>
      </c>
      <c r="C21" s="2">
        <f>C4</f>
        <v>50</v>
      </c>
      <c r="D21" s="2"/>
      <c r="E21" s="2"/>
      <c r="F21" s="2"/>
      <c r="G21" s="3"/>
    </row>
    <row r="22" spans="2:7" x14ac:dyDescent="0.25">
      <c r="B22" s="4" t="s">
        <v>15</v>
      </c>
      <c r="C22" s="2">
        <f>C18-C19</f>
        <v>0</v>
      </c>
      <c r="D22" s="2"/>
      <c r="E22" s="2"/>
      <c r="F22" s="2"/>
      <c r="G22" s="3"/>
    </row>
    <row r="23" spans="2:7" x14ac:dyDescent="0.25">
      <c r="B23" s="5" t="s">
        <v>16</v>
      </c>
      <c r="C23" s="6">
        <f>C20-C21</f>
        <v>0</v>
      </c>
      <c r="D23" s="6"/>
      <c r="E23" s="6"/>
      <c r="F23" s="6"/>
      <c r="G23" s="7"/>
    </row>
    <row r="25" spans="2:7" x14ac:dyDescent="0.25">
      <c r="B25" s="32" t="s">
        <v>19</v>
      </c>
      <c r="C25" s="33"/>
      <c r="D25" s="33"/>
      <c r="E25" s="33"/>
      <c r="F25" s="33"/>
      <c r="G25" s="34"/>
    </row>
    <row r="26" spans="2:7" x14ac:dyDescent="0.25">
      <c r="B26" s="8" t="s">
        <v>5</v>
      </c>
      <c r="C26" s="2">
        <v>50</v>
      </c>
      <c r="D26" s="2"/>
      <c r="E26" s="2"/>
      <c r="F26" s="2"/>
      <c r="G26" s="3"/>
    </row>
    <row r="27" spans="2:7" x14ac:dyDescent="0.25">
      <c r="B27" s="8" t="s">
        <v>0</v>
      </c>
      <c r="C27" s="2">
        <v>50</v>
      </c>
      <c r="D27" s="2"/>
      <c r="E27" s="2"/>
      <c r="F27" s="2"/>
      <c r="G27" s="3"/>
    </row>
    <row r="28" spans="2:7" x14ac:dyDescent="0.25">
      <c r="B28" s="8" t="s">
        <v>6</v>
      </c>
      <c r="C28" s="2">
        <v>0</v>
      </c>
      <c r="D28" s="2"/>
      <c r="E28" s="2"/>
      <c r="F28" s="2"/>
      <c r="G28" s="3"/>
    </row>
    <row r="29" spans="2:7" x14ac:dyDescent="0.25">
      <c r="B29" s="8" t="s">
        <v>7</v>
      </c>
      <c r="C29" s="2">
        <v>0</v>
      </c>
      <c r="D29" s="2"/>
      <c r="E29" s="2"/>
      <c r="F29" s="2"/>
      <c r="G29" s="3"/>
    </row>
    <row r="30" spans="2:7" x14ac:dyDescent="0.25">
      <c r="B30" s="8" t="s">
        <v>8</v>
      </c>
      <c r="C30" s="2">
        <v>1</v>
      </c>
      <c r="D30" s="2"/>
      <c r="E30" s="2"/>
      <c r="F30" s="2"/>
      <c r="G30" s="3"/>
    </row>
    <row r="31" spans="2:7" x14ac:dyDescent="0.25">
      <c r="B31" s="8" t="s">
        <v>3</v>
      </c>
      <c r="C31" s="2">
        <v>3.9827896165135601</v>
      </c>
      <c r="D31" s="9" t="s">
        <v>20</v>
      </c>
      <c r="E31" s="2" cm="1">
        <f t="array" ref="E31">ImpVol(C26,C27,C31,C30,TRUE)</f>
        <v>0.19999999999998799</v>
      </c>
      <c r="F31" s="2"/>
      <c r="G31" s="3"/>
    </row>
    <row r="32" spans="2:7" x14ac:dyDescent="0.25">
      <c r="B32" s="10" t="s">
        <v>4</v>
      </c>
      <c r="C32" s="6">
        <v>3.9827896165135601</v>
      </c>
      <c r="D32" s="11" t="s">
        <v>20</v>
      </c>
      <c r="E32" s="6" cm="1">
        <f t="array" ref="E32">ImpVol(C26,C27,C32,C30,FALSE)</f>
        <v>0.19999999999998799</v>
      </c>
      <c r="F32" s="6"/>
      <c r="G32" s="7"/>
    </row>
  </sheetData>
  <mergeCells count="3">
    <mergeCell ref="B2:G2"/>
    <mergeCell ref="B17:G17"/>
    <mergeCell ref="B25:G2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01B88-84CA-4967-A38C-7B3AF58C6219}">
  <sheetPr codeName="Sheet1"/>
  <dimension ref="V6:AF30"/>
  <sheetViews>
    <sheetView workbookViewId="0">
      <selection activeCell="U31" sqref="U30:U31"/>
    </sheetView>
  </sheetViews>
  <sheetFormatPr defaultRowHeight="15" x14ac:dyDescent="0.25"/>
  <sheetData>
    <row r="6" spans="22:32" x14ac:dyDescent="0.25">
      <c r="V6" s="16" t="s">
        <v>5</v>
      </c>
      <c r="W6" s="16">
        <v>474.52</v>
      </c>
      <c r="X6" s="16"/>
      <c r="Y6" s="16"/>
      <c r="Z6" s="16"/>
      <c r="AA6" s="16"/>
      <c r="AB6" s="16"/>
      <c r="AC6" s="16"/>
      <c r="AD6" s="16"/>
    </row>
    <row r="7" spans="22:32" x14ac:dyDescent="0.25">
      <c r="V7" s="16" t="s">
        <v>8</v>
      </c>
      <c r="W7" s="16" t="s">
        <v>28</v>
      </c>
      <c r="X7" s="16"/>
      <c r="Y7" s="16"/>
      <c r="Z7" s="16"/>
      <c r="AA7" s="16"/>
      <c r="AB7" s="16"/>
      <c r="AC7" s="16"/>
      <c r="AD7" s="16"/>
    </row>
    <row r="8" spans="22:32" x14ac:dyDescent="0.25">
      <c r="V8" s="16"/>
      <c r="W8" s="16"/>
      <c r="X8" s="16"/>
      <c r="Y8" s="16"/>
      <c r="Z8" s="16"/>
      <c r="AA8" s="16"/>
      <c r="AB8" s="16"/>
      <c r="AC8" s="16"/>
      <c r="AD8" s="16"/>
    </row>
    <row r="9" spans="22:32" x14ac:dyDescent="0.25">
      <c r="V9" s="16" t="s">
        <v>21</v>
      </c>
      <c r="W9" s="16"/>
      <c r="X9" s="16"/>
      <c r="Y9" s="16"/>
      <c r="Z9" s="16" t="s">
        <v>0</v>
      </c>
      <c r="AA9" s="16" t="s">
        <v>22</v>
      </c>
      <c r="AB9" s="16"/>
      <c r="AC9" s="16"/>
      <c r="AD9" s="16"/>
    </row>
    <row r="10" spans="22:32" x14ac:dyDescent="0.25">
      <c r="V10" s="16" t="s">
        <v>23</v>
      </c>
      <c r="W10" s="16" t="s">
        <v>24</v>
      </c>
      <c r="X10" s="16" t="s">
        <v>25</v>
      </c>
      <c r="Y10" s="16" t="s">
        <v>26</v>
      </c>
      <c r="Z10" s="16"/>
      <c r="AA10" s="16" t="s">
        <v>23</v>
      </c>
      <c r="AB10" s="16" t="s">
        <v>24</v>
      </c>
      <c r="AC10" s="16" t="s">
        <v>25</v>
      </c>
      <c r="AD10" s="16" t="s">
        <v>27</v>
      </c>
      <c r="AE10" t="s">
        <v>75</v>
      </c>
      <c r="AF10" t="s">
        <v>76</v>
      </c>
    </row>
    <row r="11" spans="22:32" x14ac:dyDescent="0.25">
      <c r="V11" s="17">
        <v>18.2</v>
      </c>
      <c r="W11" s="17"/>
      <c r="X11" s="17">
        <v>18.440000000000001</v>
      </c>
      <c r="Y11" s="17">
        <v>217</v>
      </c>
      <c r="Z11" s="17">
        <v>465</v>
      </c>
      <c r="AA11" s="17">
        <v>6.58</v>
      </c>
      <c r="AB11" s="17"/>
      <c r="AC11" s="17">
        <v>6.62</v>
      </c>
      <c r="AD11" s="17">
        <v>3810</v>
      </c>
      <c r="AE11" s="28">
        <v>0.66700000000000004</v>
      </c>
      <c r="AF11" s="29">
        <f>AE11-1</f>
        <v>-0.33299999999999996</v>
      </c>
    </row>
    <row r="12" spans="22:32" x14ac:dyDescent="0.25">
      <c r="V12" s="17">
        <v>17.420000000000002</v>
      </c>
      <c r="W12" s="17"/>
      <c r="X12" s="17">
        <v>17.66</v>
      </c>
      <c r="Y12" s="17">
        <v>296</v>
      </c>
      <c r="Z12" s="17">
        <v>466</v>
      </c>
      <c r="AA12" s="17">
        <v>6.79</v>
      </c>
      <c r="AB12" s="17"/>
      <c r="AC12" s="17">
        <v>6.84</v>
      </c>
      <c r="AD12" s="17">
        <v>121</v>
      </c>
      <c r="AE12" s="28">
        <v>0.65600000000000003</v>
      </c>
      <c r="AF12" s="29">
        <f t="shared" ref="AF12:AF30" si="0">AE12-1</f>
        <v>-0.34399999999999997</v>
      </c>
    </row>
    <row r="13" spans="22:32" x14ac:dyDescent="0.25">
      <c r="V13" s="17">
        <v>16.600000000000001</v>
      </c>
      <c r="W13" s="17"/>
      <c r="X13" s="17">
        <v>16.88</v>
      </c>
      <c r="Y13" s="17">
        <v>92</v>
      </c>
      <c r="Z13" s="17">
        <v>467</v>
      </c>
      <c r="AA13" s="17">
        <v>7.02</v>
      </c>
      <c r="AB13" s="17"/>
      <c r="AC13" s="17">
        <v>7.06</v>
      </c>
      <c r="AD13" s="17">
        <v>94</v>
      </c>
      <c r="AE13" s="28">
        <v>0.64400000000000002</v>
      </c>
      <c r="AF13" s="29">
        <f t="shared" si="0"/>
        <v>-0.35599999999999998</v>
      </c>
    </row>
    <row r="14" spans="22:32" x14ac:dyDescent="0.25">
      <c r="V14" s="17">
        <v>15.89</v>
      </c>
      <c r="W14" s="17"/>
      <c r="X14" s="17">
        <v>16.12</v>
      </c>
      <c r="Y14" s="17">
        <v>88</v>
      </c>
      <c r="Z14" s="17">
        <v>468</v>
      </c>
      <c r="AA14" s="17">
        <v>7.25</v>
      </c>
      <c r="AB14" s="17"/>
      <c r="AC14" s="17">
        <v>7.3</v>
      </c>
      <c r="AD14" s="17">
        <v>174</v>
      </c>
      <c r="AE14" s="28">
        <v>0.63200000000000001</v>
      </c>
      <c r="AF14" s="29">
        <f t="shared" si="0"/>
        <v>-0.36799999999999999</v>
      </c>
    </row>
    <row r="15" spans="22:32" x14ac:dyDescent="0.25">
      <c r="V15" s="17">
        <v>15.14</v>
      </c>
      <c r="W15" s="17"/>
      <c r="X15" s="17">
        <v>15.35</v>
      </c>
      <c r="Y15" s="17">
        <v>6</v>
      </c>
      <c r="Z15" s="17">
        <v>469</v>
      </c>
      <c r="AA15" s="17">
        <v>7.49</v>
      </c>
      <c r="AB15" s="17"/>
      <c r="AC15" s="17">
        <v>7.54</v>
      </c>
      <c r="AD15" s="17">
        <v>241</v>
      </c>
      <c r="AE15" s="28">
        <v>0.61899999999999999</v>
      </c>
      <c r="AF15" s="29">
        <f t="shared" si="0"/>
        <v>-0.38100000000000001</v>
      </c>
    </row>
    <row r="16" spans="22:32" x14ac:dyDescent="0.25">
      <c r="V16" s="17">
        <v>14.22</v>
      </c>
      <c r="W16" s="17"/>
      <c r="X16" s="17">
        <v>14.6</v>
      </c>
      <c r="Y16" s="17">
        <v>454</v>
      </c>
      <c r="Z16" s="17">
        <v>470</v>
      </c>
      <c r="AA16" s="17">
        <v>7.75</v>
      </c>
      <c r="AB16" s="17"/>
      <c r="AC16" s="17">
        <v>7.8</v>
      </c>
      <c r="AD16" s="17">
        <v>2980</v>
      </c>
      <c r="AE16" s="28">
        <v>0.60599999999999998</v>
      </c>
      <c r="AF16" s="29">
        <f t="shared" si="0"/>
        <v>-0.39400000000000002</v>
      </c>
    </row>
    <row r="17" spans="22:32" x14ac:dyDescent="0.25">
      <c r="V17" s="17">
        <v>13.5</v>
      </c>
      <c r="W17" s="17"/>
      <c r="X17" s="17">
        <v>13.86</v>
      </c>
      <c r="Y17" s="17">
        <v>48</v>
      </c>
      <c r="Z17" s="17">
        <v>471</v>
      </c>
      <c r="AA17" s="17">
        <v>8.02</v>
      </c>
      <c r="AB17" s="17"/>
      <c r="AC17" s="17">
        <v>8.06</v>
      </c>
      <c r="AD17" s="17">
        <v>110</v>
      </c>
      <c r="AE17" s="28">
        <v>0.59299999999999997</v>
      </c>
      <c r="AF17" s="29">
        <f t="shared" si="0"/>
        <v>-0.40700000000000003</v>
      </c>
    </row>
    <row r="18" spans="22:32" x14ac:dyDescent="0.25">
      <c r="V18" s="17">
        <v>13</v>
      </c>
      <c r="W18" s="17"/>
      <c r="X18" s="17">
        <v>13.07</v>
      </c>
      <c r="Y18" s="17">
        <v>45</v>
      </c>
      <c r="Z18" s="17">
        <v>472</v>
      </c>
      <c r="AA18" s="17">
        <v>8.2899999999999991</v>
      </c>
      <c r="AB18" s="17"/>
      <c r="AC18" s="17">
        <v>8.33</v>
      </c>
      <c r="AD18" s="17">
        <v>3100</v>
      </c>
      <c r="AE18" s="28">
        <v>0.57899999999999996</v>
      </c>
      <c r="AF18" s="29">
        <f t="shared" si="0"/>
        <v>-0.42100000000000004</v>
      </c>
    </row>
    <row r="19" spans="22:32" x14ac:dyDescent="0.25">
      <c r="V19" s="17">
        <v>12.29</v>
      </c>
      <c r="W19" s="17"/>
      <c r="X19" s="17">
        <v>12.36</v>
      </c>
      <c r="Y19" s="17">
        <v>10</v>
      </c>
      <c r="Z19" s="17">
        <v>473</v>
      </c>
      <c r="AA19" s="17">
        <v>8.59</v>
      </c>
      <c r="AB19" s="17"/>
      <c r="AC19" s="17">
        <v>8.64</v>
      </c>
      <c r="AD19" s="17">
        <v>114</v>
      </c>
      <c r="AE19" s="28">
        <v>0.56499999999999995</v>
      </c>
      <c r="AF19" s="29">
        <f t="shared" si="0"/>
        <v>-0.43500000000000005</v>
      </c>
    </row>
    <row r="20" spans="22:32" x14ac:dyDescent="0.25">
      <c r="V20" s="17">
        <v>11.6</v>
      </c>
      <c r="W20" s="17"/>
      <c r="X20" s="17">
        <v>11.67</v>
      </c>
      <c r="Y20" s="17">
        <v>26</v>
      </c>
      <c r="Z20" s="17">
        <v>474</v>
      </c>
      <c r="AA20" s="17">
        <v>8.89</v>
      </c>
      <c r="AB20" s="17"/>
      <c r="AC20" s="17">
        <v>8.93</v>
      </c>
      <c r="AD20" s="17">
        <v>198</v>
      </c>
      <c r="AE20" s="28">
        <v>0.55000000000000004</v>
      </c>
      <c r="AF20" s="29">
        <f t="shared" si="0"/>
        <v>-0.44999999999999996</v>
      </c>
    </row>
    <row r="21" spans="22:32" x14ac:dyDescent="0.25">
      <c r="V21" s="17">
        <v>10.93</v>
      </c>
      <c r="W21" s="17"/>
      <c r="X21" s="17">
        <v>10.98</v>
      </c>
      <c r="Y21" s="17">
        <v>540</v>
      </c>
      <c r="Z21" s="17">
        <v>475</v>
      </c>
      <c r="AA21" s="17">
        <v>9.2100000000000009</v>
      </c>
      <c r="AB21" s="17"/>
      <c r="AC21" s="17">
        <v>9.26</v>
      </c>
      <c r="AD21" s="17">
        <v>835</v>
      </c>
      <c r="AE21" s="28">
        <v>0.53400000000000003</v>
      </c>
      <c r="AF21" s="29">
        <f t="shared" si="0"/>
        <v>-0.46599999999999997</v>
      </c>
    </row>
    <row r="22" spans="22:32" x14ac:dyDescent="0.25">
      <c r="V22" s="17">
        <v>10.27</v>
      </c>
      <c r="W22" s="17"/>
      <c r="X22" s="17">
        <v>10.32</v>
      </c>
      <c r="Y22" s="17">
        <v>1040</v>
      </c>
      <c r="Z22" s="17">
        <v>476</v>
      </c>
      <c r="AA22" s="17">
        <v>9.5500000000000007</v>
      </c>
      <c r="AB22" s="17"/>
      <c r="AC22" s="17">
        <v>9.6</v>
      </c>
      <c r="AD22" s="17">
        <v>337</v>
      </c>
      <c r="AE22" s="28">
        <v>0.51800000000000002</v>
      </c>
      <c r="AF22" s="29">
        <f t="shared" si="0"/>
        <v>-0.48199999999999998</v>
      </c>
    </row>
    <row r="23" spans="22:32" x14ac:dyDescent="0.25">
      <c r="V23" s="17">
        <v>9.6300000000000008</v>
      </c>
      <c r="W23" s="17"/>
      <c r="X23" s="17">
        <v>9.68</v>
      </c>
      <c r="Y23" s="17">
        <v>1180</v>
      </c>
      <c r="Z23" s="17">
        <v>477</v>
      </c>
      <c r="AA23" s="17">
        <v>9.91</v>
      </c>
      <c r="AB23" s="17"/>
      <c r="AC23" s="17">
        <v>9.9600000000000009</v>
      </c>
      <c r="AD23" s="17">
        <v>282</v>
      </c>
      <c r="AE23" s="28">
        <v>0.502</v>
      </c>
      <c r="AF23" s="29">
        <f t="shared" si="0"/>
        <v>-0.498</v>
      </c>
    </row>
    <row r="24" spans="22:32" x14ac:dyDescent="0.25">
      <c r="V24" s="17">
        <v>9</v>
      </c>
      <c r="W24" s="17"/>
      <c r="X24" s="17">
        <v>9.0500000000000007</v>
      </c>
      <c r="Y24" s="17">
        <v>3280</v>
      </c>
      <c r="Z24" s="17">
        <v>478</v>
      </c>
      <c r="AA24" s="17">
        <v>10.28</v>
      </c>
      <c r="AB24" s="17"/>
      <c r="AC24" s="17">
        <v>10.33</v>
      </c>
      <c r="AD24" s="17">
        <v>2730</v>
      </c>
      <c r="AE24" s="28">
        <v>0.48499999999999999</v>
      </c>
      <c r="AF24" s="29">
        <f t="shared" si="0"/>
        <v>-0.51500000000000001</v>
      </c>
    </row>
    <row r="25" spans="22:32" x14ac:dyDescent="0.25">
      <c r="V25" s="17">
        <v>8.39</v>
      </c>
      <c r="W25" s="17"/>
      <c r="X25" s="17">
        <v>8.44</v>
      </c>
      <c r="Y25" s="17">
        <v>1260</v>
      </c>
      <c r="Z25" s="17">
        <v>479</v>
      </c>
      <c r="AA25" s="17">
        <v>10.67</v>
      </c>
      <c r="AB25" s="17"/>
      <c r="AC25" s="17">
        <v>10.72</v>
      </c>
      <c r="AD25" s="17">
        <v>1230</v>
      </c>
      <c r="AE25" s="28">
        <v>0.46700000000000003</v>
      </c>
      <c r="AF25" s="29">
        <f t="shared" si="0"/>
        <v>-0.53299999999999992</v>
      </c>
    </row>
    <row r="26" spans="22:32" x14ac:dyDescent="0.25">
      <c r="V26" s="17">
        <v>7.8</v>
      </c>
      <c r="W26" s="17"/>
      <c r="X26" s="17">
        <v>7.85</v>
      </c>
      <c r="Y26" s="17">
        <v>5400</v>
      </c>
      <c r="Z26" s="17">
        <v>480</v>
      </c>
      <c r="AA26" s="17">
        <v>11.08</v>
      </c>
      <c r="AB26" s="17"/>
      <c r="AC26" s="17">
        <v>11.13</v>
      </c>
      <c r="AD26" s="17">
        <v>1940</v>
      </c>
      <c r="AE26" s="28">
        <v>0.45</v>
      </c>
      <c r="AF26" s="29">
        <f t="shared" si="0"/>
        <v>-0.55000000000000004</v>
      </c>
    </row>
    <row r="27" spans="22:32" x14ac:dyDescent="0.25">
      <c r="V27" s="17">
        <v>7.24</v>
      </c>
      <c r="W27" s="17"/>
      <c r="X27" s="17">
        <v>7.28</v>
      </c>
      <c r="Y27" s="17">
        <v>1420</v>
      </c>
      <c r="Z27" s="17">
        <v>481</v>
      </c>
      <c r="AA27" s="17">
        <v>11.41</v>
      </c>
      <c r="AB27" s="17"/>
      <c r="AC27" s="17">
        <v>11.78</v>
      </c>
      <c r="AD27" s="17">
        <v>594</v>
      </c>
      <c r="AE27" s="28">
        <v>0.432</v>
      </c>
      <c r="AF27" s="29">
        <f t="shared" si="0"/>
        <v>-0.56800000000000006</v>
      </c>
    </row>
    <row r="28" spans="22:32" x14ac:dyDescent="0.25">
      <c r="V28" s="17">
        <v>6.69</v>
      </c>
      <c r="W28" s="17"/>
      <c r="X28" s="17">
        <v>6.74</v>
      </c>
      <c r="Y28" s="17">
        <v>265</v>
      </c>
      <c r="Z28" s="17">
        <v>482</v>
      </c>
      <c r="AA28" s="17">
        <v>11.86</v>
      </c>
      <c r="AB28" s="17"/>
      <c r="AC28" s="17">
        <v>12.26</v>
      </c>
      <c r="AD28" s="17">
        <v>597</v>
      </c>
      <c r="AE28" s="28">
        <v>0.41299999999999998</v>
      </c>
      <c r="AF28" s="29">
        <f t="shared" si="0"/>
        <v>-0.58699999999999997</v>
      </c>
    </row>
    <row r="29" spans="22:32" x14ac:dyDescent="0.25">
      <c r="V29" s="17">
        <v>6.17</v>
      </c>
      <c r="W29" s="17"/>
      <c r="X29" s="17">
        <v>6.22</v>
      </c>
      <c r="Y29" s="17">
        <v>164</v>
      </c>
      <c r="Z29" s="17">
        <v>483</v>
      </c>
      <c r="AA29" s="17">
        <v>12.34</v>
      </c>
      <c r="AB29" s="17"/>
      <c r="AC29" s="17">
        <v>12.73</v>
      </c>
      <c r="AD29" s="17">
        <v>5</v>
      </c>
      <c r="AE29" s="28">
        <v>0.39500000000000002</v>
      </c>
      <c r="AF29" s="29">
        <f t="shared" si="0"/>
        <v>-0.60499999999999998</v>
      </c>
    </row>
    <row r="30" spans="22:32" x14ac:dyDescent="0.25">
      <c r="V30" s="17">
        <v>5.68</v>
      </c>
      <c r="W30" s="17"/>
      <c r="X30" s="17">
        <v>5.72</v>
      </c>
      <c r="Y30" s="17">
        <v>650</v>
      </c>
      <c r="Z30" s="17">
        <v>484</v>
      </c>
      <c r="AA30" s="17">
        <v>12.77</v>
      </c>
      <c r="AB30" s="17"/>
      <c r="AC30" s="17">
        <v>13.18</v>
      </c>
      <c r="AD30" s="17">
        <v>2</v>
      </c>
      <c r="AE30" s="28">
        <v>0.376</v>
      </c>
      <c r="AF30" s="29">
        <f t="shared" si="0"/>
        <v>-0.624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55A1F-14B4-4948-BD1B-AD9E7E527C17}">
  <sheetPr codeName="Sheet2"/>
  <dimension ref="A1:AD28"/>
  <sheetViews>
    <sheetView workbookViewId="0">
      <selection activeCell="H31" sqref="H31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9.7109375" bestFit="1" customWidth="1"/>
    <col min="5" max="5" width="9.7109375" bestFit="1" customWidth="1"/>
    <col min="14" max="14" width="12.28515625" bestFit="1" customWidth="1"/>
    <col min="15" max="15" width="12" bestFit="1" customWidth="1"/>
  </cols>
  <sheetData>
    <row r="1" spans="1:30" x14ac:dyDescent="0.25">
      <c r="A1" s="16" t="s">
        <v>5</v>
      </c>
      <c r="B1" s="16">
        <v>474.52</v>
      </c>
      <c r="C1" s="16"/>
      <c r="D1" s="16" t="s">
        <v>43</v>
      </c>
      <c r="E1" s="16">
        <f>_xlfn.DAYS(C2,B3)</f>
        <v>50</v>
      </c>
      <c r="F1" s="22">
        <f>E1/360</f>
        <v>0.1388888888888889</v>
      </c>
      <c r="G1" s="16"/>
      <c r="H1" s="16"/>
      <c r="I1" s="16"/>
      <c r="K1" t="s">
        <v>29</v>
      </c>
      <c r="N1" t="s">
        <v>38</v>
      </c>
      <c r="V1" t="s">
        <v>47</v>
      </c>
    </row>
    <row r="2" spans="1:30" ht="15.75" thickBot="1" x14ac:dyDescent="0.3">
      <c r="A2" s="16" t="s">
        <v>8</v>
      </c>
      <c r="B2" s="16" t="s">
        <v>28</v>
      </c>
      <c r="C2" s="20">
        <v>44610</v>
      </c>
      <c r="D2" s="16" t="s">
        <v>44</v>
      </c>
      <c r="E2" s="16">
        <f>30*(1+18/30)</f>
        <v>48</v>
      </c>
      <c r="F2" s="16">
        <f>E2/360</f>
        <v>0.13333333333333333</v>
      </c>
      <c r="G2" s="16"/>
      <c r="H2" s="16"/>
      <c r="I2" s="16"/>
      <c r="K2" t="s">
        <v>30</v>
      </c>
      <c r="N2" t="s">
        <v>39</v>
      </c>
    </row>
    <row r="3" spans="1:30" x14ac:dyDescent="0.25">
      <c r="A3" t="s">
        <v>46</v>
      </c>
      <c r="B3" s="20">
        <v>44560</v>
      </c>
      <c r="C3" s="16"/>
      <c r="D3" s="16" t="s">
        <v>45</v>
      </c>
      <c r="E3" s="21">
        <f>NETWORKDAYS(B3,C2)</f>
        <v>37</v>
      </c>
      <c r="F3" s="16">
        <f>E3/252</f>
        <v>0.14682539682539683</v>
      </c>
      <c r="G3" s="16"/>
      <c r="H3" s="16"/>
      <c r="I3" s="16"/>
      <c r="K3" t="s">
        <v>31</v>
      </c>
      <c r="N3" t="s">
        <v>40</v>
      </c>
      <c r="V3" s="26" t="s">
        <v>48</v>
      </c>
      <c r="W3" s="26"/>
    </row>
    <row r="4" spans="1:30" x14ac:dyDescent="0.25">
      <c r="A4" s="16" t="s">
        <v>21</v>
      </c>
      <c r="B4" s="16"/>
      <c r="C4" s="16"/>
      <c r="D4" s="16"/>
      <c r="F4" s="16" t="s">
        <v>22</v>
      </c>
      <c r="G4" s="16"/>
      <c r="H4" s="16"/>
      <c r="I4" s="16"/>
      <c r="V4" s="23" t="s">
        <v>49</v>
      </c>
      <c r="W4" s="23">
        <v>0.99998573254395484</v>
      </c>
    </row>
    <row r="5" spans="1:30" x14ac:dyDescent="0.25">
      <c r="A5" s="16" t="s">
        <v>23</v>
      </c>
      <c r="B5" s="16" t="s">
        <v>24</v>
      </c>
      <c r="C5" s="16" t="s">
        <v>25</v>
      </c>
      <c r="D5" s="16" t="s">
        <v>26</v>
      </c>
      <c r="E5" s="16" t="s">
        <v>0</v>
      </c>
      <c r="F5" s="16" t="s">
        <v>23</v>
      </c>
      <c r="G5" s="16" t="s">
        <v>24</v>
      </c>
      <c r="H5" s="16" t="s">
        <v>25</v>
      </c>
      <c r="I5" s="16" t="s">
        <v>27</v>
      </c>
      <c r="J5" s="16" t="s">
        <v>15</v>
      </c>
      <c r="K5" s="16" t="s">
        <v>32</v>
      </c>
      <c r="L5" s="16" t="s">
        <v>33</v>
      </c>
      <c r="N5" s="16" t="s">
        <v>35</v>
      </c>
      <c r="O5">
        <f>1/SUMPRODUCT(K6:K25,K6:K25)</f>
        <v>2.2204113534073323E-7</v>
      </c>
      <c r="V5" s="23" t="s">
        <v>50</v>
      </c>
      <c r="W5" s="23">
        <v>0.99997146529146996</v>
      </c>
    </row>
    <row r="6" spans="1:30" x14ac:dyDescent="0.25">
      <c r="A6" s="17">
        <v>18.2</v>
      </c>
      <c r="B6" s="17">
        <f>(A6+C6)/2</f>
        <v>18.32</v>
      </c>
      <c r="C6" s="17">
        <v>18.440000000000001</v>
      </c>
      <c r="D6" s="17">
        <v>217</v>
      </c>
      <c r="E6" s="17">
        <v>465</v>
      </c>
      <c r="F6" s="17">
        <v>6.58</v>
      </c>
      <c r="G6" s="17">
        <f>(F6+H6)/2</f>
        <v>6.6</v>
      </c>
      <c r="H6" s="17">
        <v>6.62</v>
      </c>
      <c r="I6" s="17">
        <v>3810</v>
      </c>
      <c r="J6" s="18">
        <f>B6-G6</f>
        <v>11.72</v>
      </c>
      <c r="K6" s="18">
        <f>E6</f>
        <v>465</v>
      </c>
      <c r="L6" s="18">
        <f>J6</f>
        <v>11.72</v>
      </c>
      <c r="N6" t="s">
        <v>36</v>
      </c>
      <c r="O6">
        <f>SUMPRODUCT(K6:K25,L6:L25)</f>
        <v>20243.184999999998</v>
      </c>
      <c r="V6" s="23" t="s">
        <v>51</v>
      </c>
      <c r="W6" s="23">
        <v>0.99996988002988496</v>
      </c>
    </row>
    <row r="7" spans="1:30" x14ac:dyDescent="0.25">
      <c r="A7" s="17">
        <v>17.420000000000002</v>
      </c>
      <c r="B7" s="17">
        <f t="shared" ref="B7:B25" si="0">(A7+C7)/2</f>
        <v>17.54</v>
      </c>
      <c r="C7" s="17">
        <v>17.66</v>
      </c>
      <c r="D7" s="17">
        <v>296</v>
      </c>
      <c r="E7" s="17">
        <v>466</v>
      </c>
      <c r="F7" s="17">
        <v>6.79</v>
      </c>
      <c r="G7" s="17">
        <f t="shared" ref="G7:G25" si="1">(F7+H7)/2</f>
        <v>6.8149999999999995</v>
      </c>
      <c r="H7" s="17">
        <v>6.84</v>
      </c>
      <c r="I7" s="17">
        <v>121</v>
      </c>
      <c r="J7" s="18">
        <f t="shared" ref="J7:J25" si="2">B7-G7</f>
        <v>10.725</v>
      </c>
      <c r="K7" s="18">
        <f t="shared" ref="K7:K25" si="3">E7</f>
        <v>466</v>
      </c>
      <c r="L7" s="18">
        <f t="shared" ref="L7:L25" si="4">J7</f>
        <v>10.725</v>
      </c>
      <c r="N7" s="16" t="s">
        <v>34</v>
      </c>
      <c r="O7">
        <f>W18</f>
        <v>-1.0009887218045119</v>
      </c>
      <c r="P7" s="19" t="s">
        <v>41</v>
      </c>
      <c r="V7" s="23" t="s">
        <v>52</v>
      </c>
      <c r="W7" s="23">
        <v>3.2500996064679759E-2</v>
      </c>
    </row>
    <row r="8" spans="1:30" ht="15.75" thickBot="1" x14ac:dyDescent="0.3">
      <c r="A8" s="17">
        <v>16.600000000000001</v>
      </c>
      <c r="B8" s="17">
        <f t="shared" si="0"/>
        <v>16.740000000000002</v>
      </c>
      <c r="C8" s="17">
        <v>16.88</v>
      </c>
      <c r="D8" s="17">
        <v>92</v>
      </c>
      <c r="E8" s="17">
        <v>467</v>
      </c>
      <c r="F8" s="17">
        <v>7.02</v>
      </c>
      <c r="G8" s="17">
        <f t="shared" si="1"/>
        <v>7.0399999999999991</v>
      </c>
      <c r="H8" s="17">
        <v>7.06</v>
      </c>
      <c r="I8" s="17">
        <v>94</v>
      </c>
      <c r="J8" s="18">
        <f t="shared" si="2"/>
        <v>9.7000000000000028</v>
      </c>
      <c r="K8" s="18">
        <f t="shared" si="3"/>
        <v>467</v>
      </c>
      <c r="L8" s="18">
        <f t="shared" si="4"/>
        <v>9.7000000000000028</v>
      </c>
      <c r="N8" t="s">
        <v>37</v>
      </c>
      <c r="O8">
        <f>AVERAGE(L6:L25)-O7*AVERAGE(K6:K25)</f>
        <v>477.17239849624093</v>
      </c>
      <c r="P8" t="s">
        <v>42</v>
      </c>
      <c r="V8" s="24" t="s">
        <v>53</v>
      </c>
      <c r="W8" s="24">
        <v>20</v>
      </c>
    </row>
    <row r="9" spans="1:30" x14ac:dyDescent="0.25">
      <c r="A9" s="17">
        <v>15.89</v>
      </c>
      <c r="B9" s="17">
        <f t="shared" si="0"/>
        <v>16.005000000000003</v>
      </c>
      <c r="C9" s="17">
        <v>16.12</v>
      </c>
      <c r="D9" s="17">
        <v>88</v>
      </c>
      <c r="E9" s="17">
        <v>468</v>
      </c>
      <c r="F9" s="17">
        <v>7.25</v>
      </c>
      <c r="G9" s="17">
        <f t="shared" si="1"/>
        <v>7.2750000000000004</v>
      </c>
      <c r="H9" s="17">
        <v>7.3</v>
      </c>
      <c r="I9" s="17">
        <v>174</v>
      </c>
      <c r="J9" s="18">
        <f t="shared" si="2"/>
        <v>8.7300000000000022</v>
      </c>
      <c r="K9" s="18">
        <f t="shared" si="3"/>
        <v>468</v>
      </c>
      <c r="L9" s="18">
        <f t="shared" si="4"/>
        <v>8.7300000000000022</v>
      </c>
    </row>
    <row r="10" spans="1:30" ht="15.75" thickBot="1" x14ac:dyDescent="0.3">
      <c r="A10" s="17">
        <v>15.14</v>
      </c>
      <c r="B10" s="17">
        <f t="shared" si="0"/>
        <v>15.245000000000001</v>
      </c>
      <c r="C10" s="17">
        <v>15.35</v>
      </c>
      <c r="D10" s="17">
        <v>6</v>
      </c>
      <c r="E10" s="17">
        <v>469</v>
      </c>
      <c r="F10" s="17">
        <v>7.49</v>
      </c>
      <c r="G10" s="17">
        <f t="shared" si="1"/>
        <v>7.5150000000000006</v>
      </c>
      <c r="H10" s="17">
        <v>7.54</v>
      </c>
      <c r="I10" s="17">
        <v>241</v>
      </c>
      <c r="J10" s="18">
        <f t="shared" si="2"/>
        <v>7.73</v>
      </c>
      <c r="K10" s="18">
        <f t="shared" si="3"/>
        <v>469</v>
      </c>
      <c r="L10" s="18">
        <f t="shared" si="4"/>
        <v>7.73</v>
      </c>
      <c r="N10" t="s">
        <v>5</v>
      </c>
      <c r="O10">
        <f>B1</f>
        <v>474.52</v>
      </c>
      <c r="V10" t="s">
        <v>54</v>
      </c>
    </row>
    <row r="11" spans="1:30" x14ac:dyDescent="0.25">
      <c r="A11" s="17">
        <v>14.22</v>
      </c>
      <c r="B11" s="17">
        <f t="shared" si="0"/>
        <v>14.41</v>
      </c>
      <c r="C11" s="17">
        <v>14.6</v>
      </c>
      <c r="D11" s="17">
        <v>454</v>
      </c>
      <c r="E11" s="17">
        <v>470</v>
      </c>
      <c r="F11" s="17">
        <v>7.75</v>
      </c>
      <c r="G11" s="17">
        <f t="shared" si="1"/>
        <v>7.7750000000000004</v>
      </c>
      <c r="H11" s="17">
        <v>7.8</v>
      </c>
      <c r="I11" s="17">
        <v>2980</v>
      </c>
      <c r="J11" s="18">
        <f t="shared" si="2"/>
        <v>6.6349999999999998</v>
      </c>
      <c r="K11" s="18">
        <f t="shared" si="3"/>
        <v>470</v>
      </c>
      <c r="L11" s="18">
        <f t="shared" si="4"/>
        <v>6.6349999999999998</v>
      </c>
      <c r="N11" t="s">
        <v>8</v>
      </c>
      <c r="O11">
        <f>F1</f>
        <v>0.1388888888888889</v>
      </c>
      <c r="V11" s="25"/>
      <c r="W11" s="25" t="s">
        <v>59</v>
      </c>
      <c r="X11" s="25" t="s">
        <v>60</v>
      </c>
      <c r="Y11" s="25" t="s">
        <v>61</v>
      </c>
      <c r="Z11" s="25" t="s">
        <v>62</v>
      </c>
      <c r="AA11" s="25" t="s">
        <v>63</v>
      </c>
    </row>
    <row r="12" spans="1:30" x14ac:dyDescent="0.25">
      <c r="A12" s="17">
        <v>13.5</v>
      </c>
      <c r="B12" s="17">
        <f t="shared" si="0"/>
        <v>13.68</v>
      </c>
      <c r="C12" s="17">
        <v>13.86</v>
      </c>
      <c r="D12" s="17">
        <v>48</v>
      </c>
      <c r="E12" s="17">
        <v>471</v>
      </c>
      <c r="F12" s="17">
        <v>8.02</v>
      </c>
      <c r="G12" s="17">
        <f t="shared" si="1"/>
        <v>8.0399999999999991</v>
      </c>
      <c r="H12" s="17">
        <v>8.06</v>
      </c>
      <c r="I12" s="17">
        <v>110</v>
      </c>
      <c r="J12" s="18">
        <f t="shared" si="2"/>
        <v>5.6400000000000006</v>
      </c>
      <c r="K12" s="18">
        <f t="shared" si="3"/>
        <v>471</v>
      </c>
      <c r="L12" s="18">
        <f t="shared" si="4"/>
        <v>5.6400000000000006</v>
      </c>
      <c r="N12" t="s">
        <v>6</v>
      </c>
      <c r="O12">
        <f>-LN(-O7)/O11</f>
        <v>-7.1152800555722654E-3</v>
      </c>
      <c r="V12" s="23" t="s">
        <v>55</v>
      </c>
      <c r="W12" s="23">
        <v>1</v>
      </c>
      <c r="X12" s="23">
        <v>666.31565008458654</v>
      </c>
      <c r="Y12" s="23">
        <v>666.31565008458654</v>
      </c>
      <c r="Z12" s="23">
        <v>630792.71885080379</v>
      </c>
      <c r="AA12" s="23">
        <v>2.3261706735248478E-42</v>
      </c>
    </row>
    <row r="13" spans="1:30" x14ac:dyDescent="0.25">
      <c r="A13" s="17">
        <v>13</v>
      </c>
      <c r="B13" s="17">
        <f t="shared" si="0"/>
        <v>13.035</v>
      </c>
      <c r="C13" s="17">
        <v>13.07</v>
      </c>
      <c r="D13" s="17">
        <v>45</v>
      </c>
      <c r="E13" s="17">
        <v>472</v>
      </c>
      <c r="F13" s="17">
        <v>8.2899999999999991</v>
      </c>
      <c r="G13" s="17">
        <f t="shared" si="1"/>
        <v>8.3099999999999987</v>
      </c>
      <c r="H13" s="17">
        <v>8.33</v>
      </c>
      <c r="I13" s="17">
        <v>3100</v>
      </c>
      <c r="J13" s="18">
        <f t="shared" si="2"/>
        <v>4.7250000000000014</v>
      </c>
      <c r="K13" s="18">
        <f t="shared" si="3"/>
        <v>472</v>
      </c>
      <c r="L13" s="18">
        <f t="shared" si="4"/>
        <v>4.7250000000000014</v>
      </c>
      <c r="N13" t="s">
        <v>7</v>
      </c>
      <c r="O13">
        <f>-LN(O8/O10)/O11</f>
        <v>-4.0133384798922034E-2</v>
      </c>
      <c r="V13" s="23" t="s">
        <v>56</v>
      </c>
      <c r="W13" s="23">
        <v>18</v>
      </c>
      <c r="X13" s="23">
        <v>1.9013665413533925E-2</v>
      </c>
      <c r="Y13" s="23">
        <v>1.0563147451963292E-3</v>
      </c>
      <c r="Z13" s="23"/>
      <c r="AA13" s="23"/>
    </row>
    <row r="14" spans="1:30" ht="15.75" thickBot="1" x14ac:dyDescent="0.3">
      <c r="A14" s="17">
        <v>12.29</v>
      </c>
      <c r="B14" s="17">
        <f t="shared" si="0"/>
        <v>12.324999999999999</v>
      </c>
      <c r="C14" s="17">
        <v>12.36</v>
      </c>
      <c r="D14" s="17">
        <v>10</v>
      </c>
      <c r="E14" s="17">
        <v>473</v>
      </c>
      <c r="F14" s="17">
        <v>8.59</v>
      </c>
      <c r="G14" s="17">
        <f t="shared" si="1"/>
        <v>8.6150000000000002</v>
      </c>
      <c r="H14" s="17">
        <v>8.64</v>
      </c>
      <c r="I14" s="17">
        <v>114</v>
      </c>
      <c r="J14" s="18">
        <f t="shared" si="2"/>
        <v>3.7099999999999991</v>
      </c>
      <c r="K14" s="18">
        <f t="shared" si="3"/>
        <v>473</v>
      </c>
      <c r="L14" s="18">
        <f t="shared" si="4"/>
        <v>3.7099999999999991</v>
      </c>
      <c r="V14" s="24" t="s">
        <v>57</v>
      </c>
      <c r="W14" s="24">
        <v>19</v>
      </c>
      <c r="X14" s="24">
        <v>666.33466375000012</v>
      </c>
      <c r="Y14" s="24"/>
      <c r="Z14" s="24"/>
      <c r="AA14" s="24"/>
    </row>
    <row r="15" spans="1:30" ht="15.75" thickBot="1" x14ac:dyDescent="0.3">
      <c r="A15" s="17">
        <v>11.6</v>
      </c>
      <c r="B15" s="17">
        <f t="shared" si="0"/>
        <v>11.635</v>
      </c>
      <c r="C15" s="17">
        <v>11.67</v>
      </c>
      <c r="D15" s="17">
        <v>26</v>
      </c>
      <c r="E15" s="17">
        <v>474</v>
      </c>
      <c r="F15" s="17">
        <v>8.89</v>
      </c>
      <c r="G15" s="17">
        <f t="shared" si="1"/>
        <v>8.91</v>
      </c>
      <c r="H15" s="17">
        <v>8.93</v>
      </c>
      <c r="I15" s="17">
        <v>198</v>
      </c>
      <c r="J15" s="18">
        <f t="shared" si="2"/>
        <v>2.7249999999999996</v>
      </c>
      <c r="K15" s="18">
        <f t="shared" si="3"/>
        <v>474</v>
      </c>
      <c r="L15" s="18">
        <f t="shared" si="4"/>
        <v>2.7249999999999996</v>
      </c>
    </row>
    <row r="16" spans="1:30" x14ac:dyDescent="0.25">
      <c r="A16" s="17">
        <v>10.93</v>
      </c>
      <c r="B16" s="17">
        <f t="shared" si="0"/>
        <v>10.955</v>
      </c>
      <c r="C16" s="17">
        <v>10.98</v>
      </c>
      <c r="D16" s="17">
        <v>540</v>
      </c>
      <c r="E16" s="17">
        <v>475</v>
      </c>
      <c r="F16" s="17">
        <v>9.2100000000000009</v>
      </c>
      <c r="G16" s="17">
        <f t="shared" si="1"/>
        <v>9.2349999999999994</v>
      </c>
      <c r="H16" s="17">
        <v>9.26</v>
      </c>
      <c r="I16" s="17">
        <v>835</v>
      </c>
      <c r="J16" s="18">
        <f t="shared" si="2"/>
        <v>1.7200000000000006</v>
      </c>
      <c r="K16" s="18">
        <f t="shared" si="3"/>
        <v>475</v>
      </c>
      <c r="L16" s="18">
        <f t="shared" si="4"/>
        <v>1.7200000000000006</v>
      </c>
      <c r="V16" s="25"/>
      <c r="W16" s="25" t="s">
        <v>64</v>
      </c>
      <c r="X16" s="25" t="s">
        <v>52</v>
      </c>
      <c r="Y16" s="25" t="s">
        <v>65</v>
      </c>
      <c r="Z16" s="25" t="s">
        <v>66</v>
      </c>
      <c r="AA16" s="25" t="s">
        <v>67</v>
      </c>
      <c r="AB16" s="25" t="s">
        <v>68</v>
      </c>
      <c r="AC16" s="25" t="s">
        <v>69</v>
      </c>
      <c r="AD16" s="25" t="s">
        <v>70</v>
      </c>
    </row>
    <row r="17" spans="1:30" x14ac:dyDescent="0.25">
      <c r="A17" s="17">
        <v>10.27</v>
      </c>
      <c r="B17" s="17">
        <f t="shared" si="0"/>
        <v>10.295</v>
      </c>
      <c r="C17" s="17">
        <v>10.32</v>
      </c>
      <c r="D17" s="17">
        <v>1040</v>
      </c>
      <c r="E17" s="17">
        <v>476</v>
      </c>
      <c r="F17" s="17">
        <v>9.5500000000000007</v>
      </c>
      <c r="G17" s="17">
        <f t="shared" si="1"/>
        <v>9.5749999999999993</v>
      </c>
      <c r="H17" s="17">
        <v>9.6</v>
      </c>
      <c r="I17" s="17">
        <v>337</v>
      </c>
      <c r="J17" s="18">
        <f t="shared" si="2"/>
        <v>0.72000000000000064</v>
      </c>
      <c r="K17" s="18">
        <f t="shared" si="3"/>
        <v>476</v>
      </c>
      <c r="L17" s="18">
        <f t="shared" si="4"/>
        <v>0.72000000000000064</v>
      </c>
      <c r="V17" s="23" t="s">
        <v>58</v>
      </c>
      <c r="W17" s="23">
        <v>477.17239849624093</v>
      </c>
      <c r="X17" s="23">
        <v>0.59807290956057524</v>
      </c>
      <c r="Y17" s="23">
        <v>797.84987895010318</v>
      </c>
      <c r="Z17" s="23">
        <v>2.1430942908427854E-42</v>
      </c>
      <c r="AA17" s="23">
        <v>475.91589393887404</v>
      </c>
      <c r="AB17" s="23">
        <v>478.42890305360783</v>
      </c>
      <c r="AC17" s="23">
        <v>475.91589393887404</v>
      </c>
      <c r="AD17" s="23">
        <v>478.42890305360783</v>
      </c>
    </row>
    <row r="18" spans="1:30" ht="15.75" thickBot="1" x14ac:dyDescent="0.3">
      <c r="A18" s="17">
        <v>9.6300000000000008</v>
      </c>
      <c r="B18" s="17">
        <f t="shared" si="0"/>
        <v>9.6550000000000011</v>
      </c>
      <c r="C18" s="17">
        <v>9.68</v>
      </c>
      <c r="D18" s="17">
        <v>1180</v>
      </c>
      <c r="E18" s="17">
        <v>477</v>
      </c>
      <c r="F18" s="17">
        <v>9.91</v>
      </c>
      <c r="G18" s="17">
        <f t="shared" si="1"/>
        <v>9.9350000000000005</v>
      </c>
      <c r="H18" s="17">
        <v>9.9600000000000009</v>
      </c>
      <c r="I18" s="17">
        <v>282</v>
      </c>
      <c r="J18" s="18">
        <f t="shared" si="2"/>
        <v>-0.27999999999999936</v>
      </c>
      <c r="K18" s="18">
        <f t="shared" si="3"/>
        <v>477</v>
      </c>
      <c r="L18" s="18">
        <f t="shared" si="4"/>
        <v>-0.27999999999999936</v>
      </c>
      <c r="V18" s="24" t="s">
        <v>71</v>
      </c>
      <c r="W18" s="24">
        <v>-1.0009887218045119</v>
      </c>
      <c r="X18" s="24">
        <v>1.2603345690169502E-3</v>
      </c>
      <c r="Y18" s="24">
        <v>-794.22460226991495</v>
      </c>
      <c r="Z18" s="24">
        <v>2.3261706735248146E-42</v>
      </c>
      <c r="AA18" s="24">
        <v>-1.0036365864786374</v>
      </c>
      <c r="AB18" s="24">
        <v>-0.99834085713038656</v>
      </c>
      <c r="AC18" s="24">
        <v>-1.0036365864786374</v>
      </c>
      <c r="AD18" s="24">
        <v>-0.99834085713038656</v>
      </c>
    </row>
    <row r="19" spans="1:30" x14ac:dyDescent="0.25">
      <c r="A19" s="17">
        <v>9</v>
      </c>
      <c r="B19" s="17">
        <f t="shared" si="0"/>
        <v>9.0250000000000004</v>
      </c>
      <c r="C19" s="17">
        <v>9.0500000000000007</v>
      </c>
      <c r="D19" s="17">
        <v>3280</v>
      </c>
      <c r="E19" s="17">
        <v>478</v>
      </c>
      <c r="F19" s="17">
        <v>10.28</v>
      </c>
      <c r="G19" s="17">
        <f t="shared" si="1"/>
        <v>10.305</v>
      </c>
      <c r="H19" s="17">
        <v>10.33</v>
      </c>
      <c r="I19" s="17">
        <v>2730</v>
      </c>
      <c r="J19" s="18">
        <f t="shared" si="2"/>
        <v>-1.2799999999999994</v>
      </c>
      <c r="K19" s="18">
        <f t="shared" si="3"/>
        <v>478</v>
      </c>
      <c r="L19" s="18">
        <f t="shared" si="4"/>
        <v>-1.2799999999999994</v>
      </c>
    </row>
    <row r="20" spans="1:30" x14ac:dyDescent="0.25">
      <c r="A20" s="17">
        <v>8.39</v>
      </c>
      <c r="B20" s="17">
        <f t="shared" si="0"/>
        <v>8.4149999999999991</v>
      </c>
      <c r="C20" s="17">
        <v>8.44</v>
      </c>
      <c r="D20" s="17">
        <v>1260</v>
      </c>
      <c r="E20" s="17">
        <v>479</v>
      </c>
      <c r="F20" s="17">
        <v>10.67</v>
      </c>
      <c r="G20" s="17">
        <f t="shared" si="1"/>
        <v>10.695</v>
      </c>
      <c r="H20" s="17">
        <v>10.72</v>
      </c>
      <c r="I20" s="17">
        <v>1230</v>
      </c>
      <c r="J20" s="18">
        <f t="shared" si="2"/>
        <v>-2.2800000000000011</v>
      </c>
      <c r="K20" s="18">
        <f t="shared" si="3"/>
        <v>479</v>
      </c>
      <c r="L20" s="18">
        <f t="shared" si="4"/>
        <v>-2.2800000000000011</v>
      </c>
    </row>
    <row r="21" spans="1:30" x14ac:dyDescent="0.25">
      <c r="A21" s="17">
        <v>7.8</v>
      </c>
      <c r="B21" s="17">
        <f t="shared" si="0"/>
        <v>7.8249999999999993</v>
      </c>
      <c r="C21" s="17">
        <v>7.85</v>
      </c>
      <c r="D21" s="17">
        <v>5400</v>
      </c>
      <c r="E21" s="17">
        <v>480</v>
      </c>
      <c r="F21" s="17">
        <v>11.08</v>
      </c>
      <c r="G21" s="17">
        <f t="shared" si="1"/>
        <v>11.105</v>
      </c>
      <c r="H21" s="17">
        <v>11.13</v>
      </c>
      <c r="I21" s="17">
        <v>1940</v>
      </c>
      <c r="J21" s="18">
        <f t="shared" si="2"/>
        <v>-3.2800000000000011</v>
      </c>
      <c r="K21" s="18">
        <f t="shared" si="3"/>
        <v>480</v>
      </c>
      <c r="L21" s="18">
        <f t="shared" si="4"/>
        <v>-3.2800000000000011</v>
      </c>
    </row>
    <row r="22" spans="1:30" x14ac:dyDescent="0.25">
      <c r="A22" s="17">
        <v>7.24</v>
      </c>
      <c r="B22" s="17">
        <f t="shared" si="0"/>
        <v>7.26</v>
      </c>
      <c r="C22" s="17">
        <v>7.28</v>
      </c>
      <c r="D22" s="17">
        <v>1420</v>
      </c>
      <c r="E22" s="17">
        <v>481</v>
      </c>
      <c r="F22" s="17">
        <v>11.41</v>
      </c>
      <c r="G22" s="17">
        <f t="shared" si="1"/>
        <v>11.594999999999999</v>
      </c>
      <c r="H22" s="17">
        <v>11.78</v>
      </c>
      <c r="I22" s="17">
        <v>594</v>
      </c>
      <c r="J22" s="18">
        <f t="shared" si="2"/>
        <v>-4.3349999999999991</v>
      </c>
      <c r="K22" s="18">
        <f t="shared" si="3"/>
        <v>481</v>
      </c>
      <c r="L22" s="18">
        <f t="shared" si="4"/>
        <v>-4.3349999999999991</v>
      </c>
    </row>
    <row r="23" spans="1:30" x14ac:dyDescent="0.25">
      <c r="A23" s="17">
        <v>6.69</v>
      </c>
      <c r="B23" s="17">
        <f t="shared" si="0"/>
        <v>6.7149999999999999</v>
      </c>
      <c r="C23" s="17">
        <v>6.74</v>
      </c>
      <c r="D23" s="17">
        <v>265</v>
      </c>
      <c r="E23" s="17">
        <v>482</v>
      </c>
      <c r="F23" s="17">
        <v>11.86</v>
      </c>
      <c r="G23" s="17">
        <f t="shared" si="1"/>
        <v>12.059999999999999</v>
      </c>
      <c r="H23" s="17">
        <v>12.26</v>
      </c>
      <c r="I23" s="17">
        <v>597</v>
      </c>
      <c r="J23" s="18">
        <f t="shared" si="2"/>
        <v>-5.3449999999999989</v>
      </c>
      <c r="K23" s="18">
        <f t="shared" si="3"/>
        <v>482</v>
      </c>
      <c r="L23" s="18">
        <f t="shared" si="4"/>
        <v>-5.3449999999999989</v>
      </c>
    </row>
    <row r="24" spans="1:30" x14ac:dyDescent="0.25">
      <c r="A24" s="17">
        <v>6.17</v>
      </c>
      <c r="B24" s="17">
        <f t="shared" si="0"/>
        <v>6.1950000000000003</v>
      </c>
      <c r="C24" s="17">
        <v>6.22</v>
      </c>
      <c r="D24" s="17">
        <v>164</v>
      </c>
      <c r="E24" s="17">
        <v>483</v>
      </c>
      <c r="F24" s="17">
        <v>12.34</v>
      </c>
      <c r="G24" s="17">
        <f t="shared" si="1"/>
        <v>12.535</v>
      </c>
      <c r="H24" s="17">
        <v>12.73</v>
      </c>
      <c r="I24" s="17">
        <v>5</v>
      </c>
      <c r="J24" s="18">
        <f t="shared" si="2"/>
        <v>-6.34</v>
      </c>
      <c r="K24" s="18">
        <f t="shared" si="3"/>
        <v>483</v>
      </c>
      <c r="L24" s="18">
        <f t="shared" si="4"/>
        <v>-6.34</v>
      </c>
    </row>
    <row r="25" spans="1:30" x14ac:dyDescent="0.25">
      <c r="A25" s="17">
        <v>5.68</v>
      </c>
      <c r="B25" s="17">
        <f t="shared" si="0"/>
        <v>5.6999999999999993</v>
      </c>
      <c r="C25" s="17">
        <v>5.72</v>
      </c>
      <c r="D25" s="17">
        <v>650</v>
      </c>
      <c r="E25" s="17">
        <v>484</v>
      </c>
      <c r="F25" s="17">
        <v>12.77</v>
      </c>
      <c r="G25" s="17">
        <f t="shared" si="1"/>
        <v>12.975</v>
      </c>
      <c r="H25" s="17">
        <v>13.18</v>
      </c>
      <c r="I25" s="17">
        <v>2</v>
      </c>
      <c r="J25" s="18">
        <f t="shared" si="2"/>
        <v>-7.2750000000000004</v>
      </c>
      <c r="K25" s="18">
        <f t="shared" si="3"/>
        <v>484</v>
      </c>
      <c r="L25" s="18">
        <f t="shared" si="4"/>
        <v>-7.2750000000000004</v>
      </c>
    </row>
    <row r="27" spans="1:30" x14ac:dyDescent="0.25">
      <c r="C27" s="40" t="s">
        <v>106</v>
      </c>
      <c r="D27" s="40"/>
    </row>
    <row r="28" spans="1:30" x14ac:dyDescent="0.25">
      <c r="C28" s="40"/>
      <c r="D28" s="40"/>
    </row>
  </sheetData>
  <mergeCells count="1">
    <mergeCell ref="C27:D2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0A062-B06C-454A-99C9-27F22D6B9A0F}">
  <sheetPr codeName="Sheet8"/>
  <dimension ref="A1:AD28"/>
  <sheetViews>
    <sheetView workbookViewId="0">
      <selection activeCell="C27" sqref="C27:D28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9.7109375" bestFit="1" customWidth="1"/>
    <col min="5" max="5" width="9.7109375" bestFit="1" customWidth="1"/>
    <col min="14" max="14" width="12.28515625" bestFit="1" customWidth="1"/>
    <col min="15" max="15" width="12" bestFit="1" customWidth="1"/>
  </cols>
  <sheetData>
    <row r="1" spans="1:30" x14ac:dyDescent="0.25">
      <c r="A1" s="16" t="s">
        <v>5</v>
      </c>
      <c r="B1" s="16">
        <v>474.52</v>
      </c>
      <c r="C1" s="16"/>
      <c r="D1" s="16" t="s">
        <v>43</v>
      </c>
      <c r="E1" s="16">
        <f>_xlfn.DAYS(C2,B3)</f>
        <v>50</v>
      </c>
      <c r="F1" s="22">
        <f>E1/360</f>
        <v>0.1388888888888889</v>
      </c>
      <c r="G1" s="16"/>
      <c r="H1" s="16"/>
      <c r="I1" s="16"/>
      <c r="K1" t="s">
        <v>29</v>
      </c>
      <c r="N1" t="s">
        <v>38</v>
      </c>
      <c r="V1" t="s">
        <v>47</v>
      </c>
    </row>
    <row r="2" spans="1:30" ht="15.75" thickBot="1" x14ac:dyDescent="0.3">
      <c r="A2" s="16" t="s">
        <v>8</v>
      </c>
      <c r="B2" s="16" t="s">
        <v>28</v>
      </c>
      <c r="C2" s="20">
        <v>44610</v>
      </c>
      <c r="D2" s="16" t="s">
        <v>44</v>
      </c>
      <c r="E2" s="16">
        <f>30*(1+18/30)</f>
        <v>48</v>
      </c>
      <c r="F2" s="16">
        <f>E2/360</f>
        <v>0.13333333333333333</v>
      </c>
      <c r="G2" s="16"/>
      <c r="H2" s="16"/>
      <c r="I2" s="16"/>
      <c r="K2" t="s">
        <v>30</v>
      </c>
      <c r="N2" t="s">
        <v>39</v>
      </c>
    </row>
    <row r="3" spans="1:30" x14ac:dyDescent="0.25">
      <c r="A3" t="s">
        <v>46</v>
      </c>
      <c r="B3" s="20">
        <v>44560</v>
      </c>
      <c r="C3" s="16"/>
      <c r="D3" s="16" t="s">
        <v>45</v>
      </c>
      <c r="E3" s="21">
        <f>NETWORKDAYS(B3,C2)</f>
        <v>37</v>
      </c>
      <c r="F3" s="16">
        <f>E3/252</f>
        <v>0.14682539682539683</v>
      </c>
      <c r="G3" s="16"/>
      <c r="H3" s="16"/>
      <c r="I3" s="16"/>
      <c r="K3" t="s">
        <v>31</v>
      </c>
      <c r="N3" t="s">
        <v>40</v>
      </c>
      <c r="V3" s="26" t="s">
        <v>48</v>
      </c>
      <c r="W3" s="26"/>
    </row>
    <row r="4" spans="1:30" x14ac:dyDescent="0.25">
      <c r="A4" s="16" t="s">
        <v>21</v>
      </c>
      <c r="B4" s="16"/>
      <c r="C4" s="16"/>
      <c r="D4" s="16"/>
      <c r="F4" s="16" t="s">
        <v>22</v>
      </c>
      <c r="G4" s="16"/>
      <c r="H4" s="16"/>
      <c r="I4" s="16"/>
      <c r="V4" s="23" t="s">
        <v>49</v>
      </c>
      <c r="W4" s="23">
        <v>0.99998241493387574</v>
      </c>
    </row>
    <row r="5" spans="1:30" x14ac:dyDescent="0.25">
      <c r="A5" s="16" t="s">
        <v>23</v>
      </c>
      <c r="B5" s="16" t="s">
        <v>24</v>
      </c>
      <c r="C5" s="16" t="s">
        <v>25</v>
      </c>
      <c r="D5" s="16" t="s">
        <v>26</v>
      </c>
      <c r="E5" s="16" t="s">
        <v>0</v>
      </c>
      <c r="F5" s="16" t="s">
        <v>23</v>
      </c>
      <c r="G5" s="16" t="s">
        <v>24</v>
      </c>
      <c r="H5" s="16" t="s">
        <v>25</v>
      </c>
      <c r="I5" s="16" t="s">
        <v>27</v>
      </c>
      <c r="J5" s="16" t="s">
        <v>15</v>
      </c>
      <c r="K5" s="16" t="s">
        <v>32</v>
      </c>
      <c r="L5" s="16" t="s">
        <v>33</v>
      </c>
      <c r="N5" s="16" t="s">
        <v>35</v>
      </c>
      <c r="O5">
        <f>1/SUMPRODUCT(K6:K25,K6:K25)</f>
        <v>2.7836272611752196E-7</v>
      </c>
      <c r="V5" s="23" t="s">
        <v>50</v>
      </c>
      <c r="W5" s="23">
        <v>0.99996483017698601</v>
      </c>
    </row>
    <row r="6" spans="1:30" x14ac:dyDescent="0.25">
      <c r="A6" s="17">
        <v>18.2</v>
      </c>
      <c r="B6" s="17">
        <f>(A6+C6)/2</f>
        <v>18.32</v>
      </c>
      <c r="C6" s="17">
        <v>18.440000000000001</v>
      </c>
      <c r="D6" s="17">
        <v>217</v>
      </c>
      <c r="E6" s="17">
        <v>465</v>
      </c>
      <c r="F6" s="17">
        <v>6.58</v>
      </c>
      <c r="G6" s="17">
        <f>(F6+H6)/2</f>
        <v>6.6</v>
      </c>
      <c r="H6" s="17">
        <v>6.62</v>
      </c>
      <c r="I6" s="17">
        <v>3810</v>
      </c>
      <c r="J6" s="18">
        <f>B6-G6</f>
        <v>11.72</v>
      </c>
      <c r="K6" s="18">
        <f>E6</f>
        <v>465</v>
      </c>
      <c r="L6" s="18">
        <f>J6</f>
        <v>11.72</v>
      </c>
      <c r="N6" t="s">
        <v>36</v>
      </c>
      <c r="O6">
        <f>SUMPRODUCT(K6:K25,L6:L25)</f>
        <v>21446.305000000004</v>
      </c>
      <c r="V6" s="23" t="s">
        <v>51</v>
      </c>
      <c r="W6" s="23">
        <v>0.99996231804677083</v>
      </c>
    </row>
    <row r="7" spans="1:30" x14ac:dyDescent="0.25">
      <c r="A7" s="17">
        <v>17.420000000000002</v>
      </c>
      <c r="B7" s="17">
        <f t="shared" ref="B7:B25" si="0">(A7+C7)/2</f>
        <v>17.54</v>
      </c>
      <c r="C7" s="17">
        <v>17.66</v>
      </c>
      <c r="D7" s="17">
        <v>296</v>
      </c>
      <c r="E7" s="17">
        <v>466</v>
      </c>
      <c r="F7" s="17">
        <v>6.79</v>
      </c>
      <c r="G7" s="17">
        <f t="shared" ref="G7:G25" si="1">(F7+H7)/2</f>
        <v>6.8149999999999995</v>
      </c>
      <c r="H7" s="17">
        <v>6.84</v>
      </c>
      <c r="I7" s="17">
        <v>121</v>
      </c>
      <c r="J7" s="18">
        <f t="shared" ref="J7:J9" si="2">B7-G7</f>
        <v>10.725</v>
      </c>
      <c r="K7" s="18">
        <f t="shared" ref="K7:K9" si="3">E7</f>
        <v>466</v>
      </c>
      <c r="L7" s="18">
        <f t="shared" ref="L7:L9" si="4">J7</f>
        <v>10.725</v>
      </c>
      <c r="N7" s="16" t="s">
        <v>34</v>
      </c>
      <c r="O7">
        <f>W18</f>
        <v>-1.0007514528990404</v>
      </c>
      <c r="P7" s="19" t="s">
        <v>41</v>
      </c>
      <c r="V7" s="23" t="s">
        <v>52</v>
      </c>
      <c r="W7" s="23">
        <v>3.4109979810673083E-2</v>
      </c>
    </row>
    <row r="8" spans="1:30" ht="15.75" thickBot="1" x14ac:dyDescent="0.3">
      <c r="A8" s="17">
        <v>16.600000000000001</v>
      </c>
      <c r="B8" s="17">
        <f t="shared" si="0"/>
        <v>16.740000000000002</v>
      </c>
      <c r="C8" s="17">
        <v>16.88</v>
      </c>
      <c r="D8" s="17">
        <v>92</v>
      </c>
      <c r="E8" s="17">
        <v>467</v>
      </c>
      <c r="F8" s="17">
        <v>7.02</v>
      </c>
      <c r="G8" s="17">
        <f t="shared" si="1"/>
        <v>7.0399999999999991</v>
      </c>
      <c r="H8" s="17">
        <v>7.06</v>
      </c>
      <c r="I8" s="17">
        <v>94</v>
      </c>
      <c r="J8" s="18">
        <f t="shared" si="2"/>
        <v>9.7000000000000028</v>
      </c>
      <c r="K8" s="18">
        <f t="shared" si="3"/>
        <v>467</v>
      </c>
      <c r="L8" s="18">
        <f t="shared" si="4"/>
        <v>9.7000000000000028</v>
      </c>
      <c r="N8" t="s">
        <v>37</v>
      </c>
      <c r="O8">
        <f>AVERAGE(L6:L25)-O7*AVERAGE(K6:K25)</f>
        <v>477.05854777672658</v>
      </c>
      <c r="P8" t="s">
        <v>42</v>
      </c>
      <c r="V8" s="24" t="s">
        <v>53</v>
      </c>
      <c r="W8" s="24">
        <v>16</v>
      </c>
    </row>
    <row r="9" spans="1:30" x14ac:dyDescent="0.25">
      <c r="A9" s="17">
        <v>15.89</v>
      </c>
      <c r="B9" s="17">
        <f t="shared" si="0"/>
        <v>16.005000000000003</v>
      </c>
      <c r="C9" s="17">
        <v>16.12</v>
      </c>
      <c r="D9" s="17">
        <v>88</v>
      </c>
      <c r="E9" s="17">
        <v>468</v>
      </c>
      <c r="F9" s="17">
        <v>7.25</v>
      </c>
      <c r="G9" s="17">
        <f t="shared" si="1"/>
        <v>7.2750000000000004</v>
      </c>
      <c r="H9" s="17">
        <v>7.3</v>
      </c>
      <c r="I9" s="17">
        <v>174</v>
      </c>
      <c r="J9" s="18">
        <f t="shared" si="2"/>
        <v>8.7300000000000022</v>
      </c>
      <c r="K9" s="18">
        <f t="shared" si="3"/>
        <v>468</v>
      </c>
      <c r="L9" s="18">
        <f t="shared" si="4"/>
        <v>8.7300000000000022</v>
      </c>
    </row>
    <row r="10" spans="1:30" ht="15.75" thickBot="1" x14ac:dyDescent="0.3">
      <c r="A10" s="17">
        <v>15.14</v>
      </c>
      <c r="B10" s="17">
        <f t="shared" si="0"/>
        <v>15.245000000000001</v>
      </c>
      <c r="C10" s="17">
        <v>15.35</v>
      </c>
      <c r="D10" s="17">
        <v>6</v>
      </c>
      <c r="E10" s="17">
        <v>469</v>
      </c>
      <c r="F10" s="17">
        <v>7.49</v>
      </c>
      <c r="G10" s="17">
        <f t="shared" si="1"/>
        <v>7.5150000000000006</v>
      </c>
      <c r="H10" s="17">
        <v>7.54</v>
      </c>
      <c r="I10" s="17">
        <v>241</v>
      </c>
      <c r="J10" s="18">
        <f>B11-G11</f>
        <v>6.6349999999999998</v>
      </c>
      <c r="K10" s="18">
        <f>E11</f>
        <v>470</v>
      </c>
      <c r="L10" s="18">
        <f t="shared" ref="L10:L21" si="5">J10</f>
        <v>6.6349999999999998</v>
      </c>
      <c r="N10" t="s">
        <v>5</v>
      </c>
      <c r="O10">
        <f>B1</f>
        <v>474.52</v>
      </c>
      <c r="V10" t="s">
        <v>54</v>
      </c>
    </row>
    <row r="11" spans="1:30" x14ac:dyDescent="0.25">
      <c r="A11" s="17">
        <v>14.22</v>
      </c>
      <c r="B11" s="17">
        <f t="shared" si="0"/>
        <v>14.41</v>
      </c>
      <c r="C11" s="17">
        <v>14.6</v>
      </c>
      <c r="D11" s="17">
        <v>454</v>
      </c>
      <c r="E11" s="17">
        <v>470</v>
      </c>
      <c r="F11" s="17">
        <v>7.75</v>
      </c>
      <c r="G11" s="17">
        <f t="shared" si="1"/>
        <v>7.7750000000000004</v>
      </c>
      <c r="H11" s="17">
        <v>7.8</v>
      </c>
      <c r="I11" s="17">
        <v>2980</v>
      </c>
      <c r="J11" s="18">
        <f>B12-G12</f>
        <v>5.6400000000000006</v>
      </c>
      <c r="K11" s="18">
        <f>E12</f>
        <v>471</v>
      </c>
      <c r="L11" s="18">
        <f t="shared" si="5"/>
        <v>5.6400000000000006</v>
      </c>
      <c r="N11" t="s">
        <v>8</v>
      </c>
      <c r="O11">
        <f>F1</f>
        <v>0.1388888888888889</v>
      </c>
      <c r="V11" s="25"/>
      <c r="W11" s="25" t="s">
        <v>59</v>
      </c>
      <c r="X11" s="25" t="s">
        <v>60</v>
      </c>
      <c r="Y11" s="25" t="s">
        <v>61</v>
      </c>
      <c r="Z11" s="25" t="s">
        <v>62</v>
      </c>
      <c r="AA11" s="25" t="s">
        <v>63</v>
      </c>
    </row>
    <row r="12" spans="1:30" x14ac:dyDescent="0.25">
      <c r="A12" s="17">
        <v>13.5</v>
      </c>
      <c r="B12" s="17">
        <f t="shared" si="0"/>
        <v>13.68</v>
      </c>
      <c r="C12" s="17">
        <v>13.86</v>
      </c>
      <c r="D12" s="17">
        <v>48</v>
      </c>
      <c r="E12" s="17">
        <v>471</v>
      </c>
      <c r="F12" s="17">
        <v>8.02</v>
      </c>
      <c r="G12" s="17">
        <f t="shared" si="1"/>
        <v>8.0399999999999991</v>
      </c>
      <c r="H12" s="17">
        <v>8.06</v>
      </c>
      <c r="I12" s="17">
        <v>110</v>
      </c>
      <c r="J12" s="18">
        <f>B13-G13</f>
        <v>4.7250000000000014</v>
      </c>
      <c r="K12" s="18">
        <f>E13</f>
        <v>472</v>
      </c>
      <c r="L12" s="18">
        <f t="shared" si="5"/>
        <v>4.7250000000000014</v>
      </c>
      <c r="N12" t="s">
        <v>6</v>
      </c>
      <c r="O12">
        <f>-LN(-O7)/O11</f>
        <v>-5.4084290376590809E-3</v>
      </c>
      <c r="V12" s="23" t="s">
        <v>55</v>
      </c>
      <c r="W12" s="23">
        <v>1</v>
      </c>
      <c r="X12" s="23">
        <v>463.13276112988245</v>
      </c>
      <c r="Y12" s="23">
        <v>463.13276112988245</v>
      </c>
      <c r="Z12" s="23">
        <v>398054.53717868502</v>
      </c>
      <c r="AA12" s="23">
        <v>1.3942007180141011E-32</v>
      </c>
    </row>
    <row r="13" spans="1:30" x14ac:dyDescent="0.25">
      <c r="A13" s="17">
        <v>13</v>
      </c>
      <c r="B13" s="17">
        <f t="shared" si="0"/>
        <v>13.035</v>
      </c>
      <c r="C13" s="17">
        <v>13.07</v>
      </c>
      <c r="D13" s="17">
        <v>45</v>
      </c>
      <c r="E13" s="17">
        <v>472</v>
      </c>
      <c r="F13" s="17">
        <v>8.2899999999999991</v>
      </c>
      <c r="G13" s="17">
        <f t="shared" si="1"/>
        <v>8.3099999999999987</v>
      </c>
      <c r="H13" s="17">
        <v>8.33</v>
      </c>
      <c r="I13" s="17">
        <v>3100</v>
      </c>
      <c r="J13" s="18">
        <f t="shared" ref="J13:J21" si="6">B15-G15</f>
        <v>2.7249999999999996</v>
      </c>
      <c r="K13" s="18">
        <f t="shared" ref="K13:K21" si="7">E15</f>
        <v>474</v>
      </c>
      <c r="L13" s="18">
        <f t="shared" si="5"/>
        <v>2.7249999999999996</v>
      </c>
      <c r="N13" t="s">
        <v>7</v>
      </c>
      <c r="O13">
        <f>-LN(O8/O10)/O11</f>
        <v>-3.8415299281795066E-2</v>
      </c>
      <c r="V13" s="23" t="s">
        <v>56</v>
      </c>
      <c r="W13" s="23">
        <v>14</v>
      </c>
      <c r="X13" s="23">
        <v>1.6288870117583353E-2</v>
      </c>
      <c r="Y13" s="23">
        <v>1.1634907226845252E-3</v>
      </c>
      <c r="Z13" s="23"/>
      <c r="AA13" s="23"/>
    </row>
    <row r="14" spans="1:30" ht="15.75" thickBot="1" x14ac:dyDescent="0.3">
      <c r="A14" s="17">
        <v>12.29</v>
      </c>
      <c r="B14" s="17">
        <f t="shared" si="0"/>
        <v>12.324999999999999</v>
      </c>
      <c r="C14" s="17">
        <v>12.36</v>
      </c>
      <c r="D14" s="17">
        <v>10</v>
      </c>
      <c r="E14" s="17">
        <v>473</v>
      </c>
      <c r="F14" s="17">
        <v>8.59</v>
      </c>
      <c r="G14" s="17">
        <f t="shared" si="1"/>
        <v>8.6150000000000002</v>
      </c>
      <c r="H14" s="17">
        <v>8.64</v>
      </c>
      <c r="I14" s="17">
        <v>114</v>
      </c>
      <c r="J14" s="18">
        <f t="shared" si="6"/>
        <v>1.7200000000000006</v>
      </c>
      <c r="K14" s="18">
        <f t="shared" si="7"/>
        <v>475</v>
      </c>
      <c r="L14" s="18">
        <f t="shared" si="5"/>
        <v>1.7200000000000006</v>
      </c>
      <c r="V14" s="24" t="s">
        <v>57</v>
      </c>
      <c r="W14" s="24">
        <v>15</v>
      </c>
      <c r="X14" s="24">
        <v>463.14905000000005</v>
      </c>
      <c r="Y14" s="24"/>
      <c r="Z14" s="24"/>
      <c r="AA14" s="24"/>
    </row>
    <row r="15" spans="1:30" ht="15.75" thickBot="1" x14ac:dyDescent="0.3">
      <c r="A15" s="17">
        <v>11.6</v>
      </c>
      <c r="B15" s="17">
        <f t="shared" si="0"/>
        <v>11.635</v>
      </c>
      <c r="C15" s="17">
        <v>11.67</v>
      </c>
      <c r="D15" s="17">
        <v>26</v>
      </c>
      <c r="E15" s="17">
        <v>474</v>
      </c>
      <c r="F15" s="17">
        <v>8.89</v>
      </c>
      <c r="G15" s="17">
        <f t="shared" si="1"/>
        <v>8.91</v>
      </c>
      <c r="H15" s="17">
        <v>8.93</v>
      </c>
      <c r="I15" s="17">
        <v>198</v>
      </c>
      <c r="J15" s="18">
        <f t="shared" si="6"/>
        <v>0.72000000000000064</v>
      </c>
      <c r="K15" s="18">
        <f t="shared" si="7"/>
        <v>476</v>
      </c>
      <c r="L15" s="18">
        <f t="shared" si="5"/>
        <v>0.72000000000000064</v>
      </c>
    </row>
    <row r="16" spans="1:30" x14ac:dyDescent="0.25">
      <c r="A16" s="17">
        <v>10.93</v>
      </c>
      <c r="B16" s="17">
        <f t="shared" si="0"/>
        <v>10.955</v>
      </c>
      <c r="C16" s="17">
        <v>10.98</v>
      </c>
      <c r="D16" s="17">
        <v>540</v>
      </c>
      <c r="E16" s="17">
        <v>475</v>
      </c>
      <c r="F16" s="17">
        <v>9.2100000000000009</v>
      </c>
      <c r="G16" s="17">
        <f t="shared" si="1"/>
        <v>9.2349999999999994</v>
      </c>
      <c r="H16" s="17">
        <v>9.26</v>
      </c>
      <c r="I16" s="17">
        <v>835</v>
      </c>
      <c r="J16" s="18">
        <f t="shared" si="6"/>
        <v>-0.27999999999999936</v>
      </c>
      <c r="K16" s="18">
        <f t="shared" si="7"/>
        <v>477</v>
      </c>
      <c r="L16" s="18">
        <f t="shared" si="5"/>
        <v>-0.27999999999999936</v>
      </c>
      <c r="V16" s="25"/>
      <c r="W16" s="25" t="s">
        <v>64</v>
      </c>
      <c r="X16" s="25" t="s">
        <v>52</v>
      </c>
      <c r="Y16" s="25" t="s">
        <v>65</v>
      </c>
      <c r="Z16" s="25" t="s">
        <v>66</v>
      </c>
      <c r="AA16" s="25" t="s">
        <v>67</v>
      </c>
      <c r="AB16" s="25" t="s">
        <v>68</v>
      </c>
      <c r="AC16" s="25" t="s">
        <v>69</v>
      </c>
      <c r="AD16" s="25" t="s">
        <v>70</v>
      </c>
    </row>
    <row r="17" spans="1:30" x14ac:dyDescent="0.25">
      <c r="A17" s="17">
        <v>10.27</v>
      </c>
      <c r="B17" s="17">
        <f t="shared" si="0"/>
        <v>10.295</v>
      </c>
      <c r="C17" s="17">
        <v>10.32</v>
      </c>
      <c r="D17" s="17">
        <v>1040</v>
      </c>
      <c r="E17" s="17">
        <v>476</v>
      </c>
      <c r="F17" s="17">
        <v>9.5500000000000007</v>
      </c>
      <c r="G17" s="17">
        <f t="shared" si="1"/>
        <v>9.5749999999999993</v>
      </c>
      <c r="H17" s="17">
        <v>9.6</v>
      </c>
      <c r="I17" s="17">
        <v>337</v>
      </c>
      <c r="J17" s="18">
        <f t="shared" si="6"/>
        <v>-1.2799999999999994</v>
      </c>
      <c r="K17" s="18">
        <f t="shared" si="7"/>
        <v>478</v>
      </c>
      <c r="L17" s="18">
        <f t="shared" si="5"/>
        <v>-1.2799999999999994</v>
      </c>
      <c r="V17" s="23" t="s">
        <v>58</v>
      </c>
      <c r="W17" s="23">
        <v>477.05854777672658</v>
      </c>
      <c r="X17" s="23">
        <v>0.75160456320323143</v>
      </c>
      <c r="Y17" s="23">
        <v>634.72013227749858</v>
      </c>
      <c r="Z17" s="23">
        <v>1.2816596710066975E-32</v>
      </c>
      <c r="AA17" s="23">
        <v>475.44651631498999</v>
      </c>
      <c r="AB17" s="23">
        <v>478.67057923846318</v>
      </c>
      <c r="AC17" s="23">
        <v>475.44651631498999</v>
      </c>
      <c r="AD17" s="23">
        <v>478.67057923846318</v>
      </c>
    </row>
    <row r="18" spans="1:30" ht="15.75" thickBot="1" x14ac:dyDescent="0.3">
      <c r="A18" s="17">
        <v>9.6300000000000008</v>
      </c>
      <c r="B18" s="17">
        <f t="shared" si="0"/>
        <v>9.6550000000000011</v>
      </c>
      <c r="C18" s="17">
        <v>9.68</v>
      </c>
      <c r="D18" s="17">
        <v>1180</v>
      </c>
      <c r="E18" s="17">
        <v>477</v>
      </c>
      <c r="F18" s="17">
        <v>9.91</v>
      </c>
      <c r="G18" s="17">
        <f t="shared" si="1"/>
        <v>9.9350000000000005</v>
      </c>
      <c r="H18" s="17">
        <v>9.9600000000000009</v>
      </c>
      <c r="I18" s="17">
        <v>282</v>
      </c>
      <c r="J18" s="18">
        <f t="shared" si="6"/>
        <v>-2.2800000000000011</v>
      </c>
      <c r="K18" s="18">
        <f t="shared" si="7"/>
        <v>479</v>
      </c>
      <c r="L18" s="18">
        <f t="shared" si="5"/>
        <v>-2.2800000000000011</v>
      </c>
      <c r="V18" s="24" t="s">
        <v>71</v>
      </c>
      <c r="W18" s="24">
        <v>-1.0007514528990404</v>
      </c>
      <c r="X18" s="24">
        <v>1.5861890227910293E-3</v>
      </c>
      <c r="Y18" s="24">
        <v>-630.91563396280253</v>
      </c>
      <c r="Z18" s="24">
        <v>1.3942007180141011E-32</v>
      </c>
      <c r="AA18" s="24">
        <v>-1.004153489999644</v>
      </c>
      <c r="AB18" s="24">
        <v>-0.99734941579843683</v>
      </c>
      <c r="AC18" s="24">
        <v>-1.004153489999644</v>
      </c>
      <c r="AD18" s="24">
        <v>-0.99734941579843683</v>
      </c>
    </row>
    <row r="19" spans="1:30" x14ac:dyDescent="0.25">
      <c r="A19" s="17">
        <v>9</v>
      </c>
      <c r="B19" s="17">
        <f t="shared" si="0"/>
        <v>9.0250000000000004</v>
      </c>
      <c r="C19" s="17">
        <v>9.0500000000000007</v>
      </c>
      <c r="D19" s="17">
        <v>3280</v>
      </c>
      <c r="E19" s="17">
        <v>478</v>
      </c>
      <c r="F19" s="17">
        <v>10.28</v>
      </c>
      <c r="G19" s="17">
        <f t="shared" si="1"/>
        <v>10.305</v>
      </c>
      <c r="H19" s="17">
        <v>10.33</v>
      </c>
      <c r="I19" s="17">
        <v>2730</v>
      </c>
      <c r="J19" s="18">
        <f t="shared" si="6"/>
        <v>-3.2800000000000011</v>
      </c>
      <c r="K19" s="18">
        <f t="shared" si="7"/>
        <v>480</v>
      </c>
      <c r="L19" s="18">
        <f t="shared" si="5"/>
        <v>-3.2800000000000011</v>
      </c>
    </row>
    <row r="20" spans="1:30" x14ac:dyDescent="0.25">
      <c r="A20" s="17">
        <v>8.39</v>
      </c>
      <c r="B20" s="17">
        <f t="shared" si="0"/>
        <v>8.4149999999999991</v>
      </c>
      <c r="C20" s="17">
        <v>8.44</v>
      </c>
      <c r="D20" s="17">
        <v>1260</v>
      </c>
      <c r="E20" s="17">
        <v>479</v>
      </c>
      <c r="F20" s="17">
        <v>10.67</v>
      </c>
      <c r="G20" s="17">
        <f t="shared" si="1"/>
        <v>10.695</v>
      </c>
      <c r="H20" s="17">
        <v>10.72</v>
      </c>
      <c r="I20" s="17">
        <v>1230</v>
      </c>
      <c r="J20" s="18">
        <f t="shared" si="6"/>
        <v>-4.3349999999999991</v>
      </c>
      <c r="K20" s="18">
        <f t="shared" si="7"/>
        <v>481</v>
      </c>
      <c r="L20" s="18">
        <f t="shared" si="5"/>
        <v>-4.3349999999999991</v>
      </c>
    </row>
    <row r="21" spans="1:30" x14ac:dyDescent="0.25">
      <c r="A21" s="17">
        <v>7.8</v>
      </c>
      <c r="B21" s="17">
        <f t="shared" si="0"/>
        <v>7.8249999999999993</v>
      </c>
      <c r="C21" s="17">
        <v>7.85</v>
      </c>
      <c r="D21" s="17">
        <v>5400</v>
      </c>
      <c r="E21" s="17">
        <v>480</v>
      </c>
      <c r="F21" s="17">
        <v>11.08</v>
      </c>
      <c r="G21" s="17">
        <f t="shared" si="1"/>
        <v>11.105</v>
      </c>
      <c r="H21" s="17">
        <v>11.13</v>
      </c>
      <c r="I21" s="17">
        <v>1940</v>
      </c>
      <c r="J21" s="18">
        <f t="shared" si="6"/>
        <v>-5.3449999999999989</v>
      </c>
      <c r="K21" s="18">
        <f t="shared" si="7"/>
        <v>482</v>
      </c>
      <c r="L21" s="18">
        <f t="shared" si="5"/>
        <v>-5.3449999999999989</v>
      </c>
    </row>
    <row r="22" spans="1:30" x14ac:dyDescent="0.25">
      <c r="A22" s="17">
        <v>7.24</v>
      </c>
      <c r="B22" s="17">
        <f t="shared" si="0"/>
        <v>7.26</v>
      </c>
      <c r="C22" s="17">
        <v>7.28</v>
      </c>
      <c r="D22" s="17">
        <v>1420</v>
      </c>
      <c r="E22" s="17">
        <v>481</v>
      </c>
      <c r="F22" s="17">
        <v>11.41</v>
      </c>
      <c r="G22" s="17">
        <f t="shared" si="1"/>
        <v>11.594999999999999</v>
      </c>
      <c r="H22" s="17">
        <v>11.78</v>
      </c>
      <c r="I22" s="17">
        <v>594</v>
      </c>
    </row>
    <row r="23" spans="1:30" x14ac:dyDescent="0.25">
      <c r="A23" s="17">
        <v>6.69</v>
      </c>
      <c r="B23" s="17">
        <f t="shared" si="0"/>
        <v>6.7149999999999999</v>
      </c>
      <c r="C23" s="17">
        <v>6.74</v>
      </c>
      <c r="D23" s="17">
        <v>265</v>
      </c>
      <c r="E23" s="17">
        <v>482</v>
      </c>
      <c r="F23" s="17">
        <v>11.86</v>
      </c>
      <c r="G23" s="17">
        <f t="shared" si="1"/>
        <v>12.059999999999999</v>
      </c>
      <c r="H23" s="17">
        <v>12.26</v>
      </c>
      <c r="I23" s="17">
        <v>597</v>
      </c>
    </row>
    <row r="24" spans="1:30" x14ac:dyDescent="0.25">
      <c r="A24" s="17">
        <v>6.17</v>
      </c>
      <c r="B24" s="17">
        <f t="shared" si="0"/>
        <v>6.1950000000000003</v>
      </c>
      <c r="C24" s="17">
        <v>6.22</v>
      </c>
      <c r="D24" s="17">
        <v>164</v>
      </c>
      <c r="E24" s="17">
        <v>483</v>
      </c>
      <c r="F24" s="17">
        <v>12.34</v>
      </c>
      <c r="G24" s="17">
        <f t="shared" si="1"/>
        <v>12.535</v>
      </c>
      <c r="H24" s="17">
        <v>12.73</v>
      </c>
      <c r="I24" s="17">
        <v>5</v>
      </c>
      <c r="J24" s="18"/>
      <c r="K24" s="18"/>
      <c r="L24" s="18"/>
    </row>
    <row r="25" spans="1:30" x14ac:dyDescent="0.25">
      <c r="A25" s="17">
        <v>5.68</v>
      </c>
      <c r="B25" s="17">
        <f t="shared" si="0"/>
        <v>5.6999999999999993</v>
      </c>
      <c r="C25" s="17">
        <v>5.72</v>
      </c>
      <c r="D25" s="17">
        <v>650</v>
      </c>
      <c r="E25" s="17">
        <v>484</v>
      </c>
      <c r="F25" s="17">
        <v>12.77</v>
      </c>
      <c r="G25" s="17">
        <f t="shared" si="1"/>
        <v>12.975</v>
      </c>
      <c r="H25" s="17">
        <v>13.18</v>
      </c>
      <c r="I25" s="17">
        <v>2</v>
      </c>
      <c r="J25" s="18"/>
      <c r="K25" s="18"/>
      <c r="L25" s="18"/>
    </row>
    <row r="27" spans="1:30" x14ac:dyDescent="0.25">
      <c r="C27" s="40" t="s">
        <v>105</v>
      </c>
      <c r="D27" s="40"/>
    </row>
    <row r="28" spans="1:30" x14ac:dyDescent="0.25">
      <c r="C28" s="40"/>
      <c r="D28" s="40"/>
    </row>
  </sheetData>
  <mergeCells count="1">
    <mergeCell ref="C27:D28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A865C-F25E-4957-BB3E-4DA3F65743E8}">
  <sheetPr codeName="Sheet3"/>
  <dimension ref="A1:W31"/>
  <sheetViews>
    <sheetView workbookViewId="0">
      <selection activeCell="C3" sqref="C3:D4"/>
    </sheetView>
  </sheetViews>
  <sheetFormatPr defaultRowHeight="15" x14ac:dyDescent="0.25"/>
  <sheetData>
    <row r="1" spans="1:23" x14ac:dyDescent="0.25">
      <c r="A1" t="s">
        <v>5</v>
      </c>
      <c r="B1">
        <v>474.52</v>
      </c>
    </row>
    <row r="2" spans="1:23" x14ac:dyDescent="0.25">
      <c r="A2" t="s">
        <v>8</v>
      </c>
      <c r="B2">
        <v>0.1388888888888889</v>
      </c>
      <c r="G2" s="41" t="s">
        <v>108</v>
      </c>
      <c r="H2" s="41"/>
      <c r="I2" s="42"/>
      <c r="J2" s="42"/>
      <c r="K2" s="42"/>
      <c r="L2" s="42"/>
      <c r="M2" s="41" t="s">
        <v>109</v>
      </c>
      <c r="N2" s="41"/>
      <c r="O2" s="42"/>
      <c r="P2" s="42"/>
      <c r="Q2" s="42"/>
      <c r="R2" s="42"/>
      <c r="S2" s="41" t="s">
        <v>110</v>
      </c>
      <c r="T2" s="41"/>
    </row>
    <row r="3" spans="1:23" x14ac:dyDescent="0.25">
      <c r="A3" t="s">
        <v>6</v>
      </c>
      <c r="B3">
        <v>-7.1152800555722654E-3</v>
      </c>
      <c r="C3" s="41" t="s">
        <v>111</v>
      </c>
      <c r="D3" s="41"/>
      <c r="G3" s="41"/>
      <c r="H3" s="41"/>
      <c r="I3" s="42"/>
      <c r="J3" s="42"/>
      <c r="K3" s="42"/>
      <c r="L3" s="42"/>
      <c r="M3" s="41"/>
      <c r="N3" s="41"/>
      <c r="O3" s="42"/>
      <c r="P3" s="42"/>
      <c r="Q3" s="42"/>
      <c r="R3" s="42"/>
      <c r="S3" s="41"/>
      <c r="T3" s="41"/>
    </row>
    <row r="4" spans="1:23" x14ac:dyDescent="0.25">
      <c r="A4" t="s">
        <v>7</v>
      </c>
      <c r="B4">
        <v>-4.0133384798922034E-2</v>
      </c>
      <c r="C4" s="41"/>
      <c r="D4" s="41"/>
      <c r="G4" t="s">
        <v>20</v>
      </c>
      <c r="M4" t="s">
        <v>74</v>
      </c>
      <c r="S4" t="s">
        <v>77</v>
      </c>
      <c r="V4" t="s">
        <v>78</v>
      </c>
    </row>
    <row r="5" spans="1:23" x14ac:dyDescent="0.25">
      <c r="A5" s="16" t="s">
        <v>23</v>
      </c>
      <c r="B5" s="16" t="s">
        <v>25</v>
      </c>
      <c r="C5" s="16" t="s">
        <v>0</v>
      </c>
      <c r="D5" s="16" t="s">
        <v>23</v>
      </c>
      <c r="E5" s="16" t="s">
        <v>25</v>
      </c>
      <c r="G5" s="16" t="s">
        <v>23</v>
      </c>
      <c r="H5" s="16" t="s">
        <v>25</v>
      </c>
      <c r="I5" s="16" t="s">
        <v>0</v>
      </c>
      <c r="J5" s="16" t="s">
        <v>23</v>
      </c>
      <c r="K5" s="16" t="s">
        <v>25</v>
      </c>
      <c r="L5" s="16"/>
      <c r="M5" s="16" t="s">
        <v>23</v>
      </c>
      <c r="N5" s="16" t="s">
        <v>25</v>
      </c>
      <c r="O5" s="16" t="s">
        <v>0</v>
      </c>
      <c r="P5" s="16" t="s">
        <v>23</v>
      </c>
      <c r="Q5" s="16" t="s">
        <v>25</v>
      </c>
      <c r="S5" t="s">
        <v>75</v>
      </c>
      <c r="T5" t="s">
        <v>76</v>
      </c>
      <c r="U5" t="s">
        <v>14</v>
      </c>
      <c r="V5" t="s">
        <v>75</v>
      </c>
      <c r="W5" t="s">
        <v>76</v>
      </c>
    </row>
    <row r="6" spans="1:23" x14ac:dyDescent="0.25">
      <c r="A6" s="17">
        <v>18.2</v>
      </c>
      <c r="B6" s="17">
        <v>18.440000000000001</v>
      </c>
      <c r="C6" s="17">
        <v>465</v>
      </c>
      <c r="D6" s="17">
        <v>6.58</v>
      </c>
      <c r="E6" s="17">
        <v>6.62</v>
      </c>
      <c r="G6" s="27" cm="1">
        <f t="array" ref="G6">ImpVol($B$1,$C6,$A6,$B$2,TRUE)</f>
        <v>0.18451855021411301</v>
      </c>
      <c r="H6" s="27" cm="1">
        <f t="array" ref="H6">ImpVol($B$1,$C6,$B6,$B$2,TRUE)</f>
        <v>0.18810676706772678</v>
      </c>
      <c r="I6" s="17">
        <f>C6</f>
        <v>465</v>
      </c>
      <c r="J6" s="27" cm="1">
        <f t="array" ref="J6">ImpVol($B$1,$C6,$D6,$B$2,FALSE)</f>
        <v>0.15281516351794261</v>
      </c>
      <c r="K6" s="27" cm="1">
        <f t="array" ref="K6">ImpVol($B$1,$C6,$E6,$B$2,FALSE)</f>
        <v>0.15342544459589097</v>
      </c>
      <c r="L6" s="16"/>
      <c r="M6" s="16" cm="1">
        <f t="array" ref="M6">bs($B$1,$C6,G6,$B$2,TRUE)</f>
        <v>18.199999999999982</v>
      </c>
      <c r="N6" s="16" cm="1">
        <f t="array" ref="N6">bs($B$1,$C6,H6,$B$2,TRUE)</f>
        <v>18.440000000000062</v>
      </c>
      <c r="O6" s="17">
        <f>I6</f>
        <v>465</v>
      </c>
      <c r="P6" s="16" cm="1">
        <f t="array" ref="P6">bs($B$1,$C6,J6,$B$2,FALSE)</f>
        <v>6.5800000000000542</v>
      </c>
      <c r="Q6" s="16" cm="1">
        <f t="array" ref="Q6">bs($B$1,$C6,K6,$B$2,FALSE)</f>
        <v>6.619999999999953</v>
      </c>
      <c r="S6">
        <v>0.66700000000000004</v>
      </c>
      <c r="T6">
        <v>-0.33299999999999996</v>
      </c>
      <c r="U6">
        <f>$B$1/C6</f>
        <v>1.0204731182795699</v>
      </c>
      <c r="V6" cm="1">
        <f t="array" ref="V6">_xlfn.NORM.S.DIST(d_one(U6,(G6+H6)/2,$B$2),TRUE)</f>
        <v>0.6280125743383338</v>
      </c>
      <c r="W6">
        <f>V6-1</f>
        <v>-0.3719874256616662</v>
      </c>
    </row>
    <row r="7" spans="1:23" x14ac:dyDescent="0.25">
      <c r="A7" s="17">
        <v>17.420000000000002</v>
      </c>
      <c r="B7" s="17">
        <v>17.66</v>
      </c>
      <c r="C7" s="17">
        <v>466</v>
      </c>
      <c r="D7" s="17">
        <v>6.79</v>
      </c>
      <c r="E7" s="17">
        <v>6.84</v>
      </c>
      <c r="G7" s="27" cm="1">
        <f t="array" ref="G7">ImpVol($B$1,$C7,$A7,$B$2,TRUE)</f>
        <v>0.18180057379076597</v>
      </c>
      <c r="H7" s="27" cm="1">
        <f t="array" ref="H7">ImpVol($B$1,$C7,$B7,$B$2,TRUE)</f>
        <v>0.18535798382138932</v>
      </c>
      <c r="I7" s="17">
        <f t="shared" ref="I7:I25" si="0">C7</f>
        <v>466</v>
      </c>
      <c r="J7" s="27" cm="1">
        <f t="array" ref="J7">ImpVol($B$1,$C7,$D7,$B$2,FALSE)</f>
        <v>0.15027153444342614</v>
      </c>
      <c r="K7" s="27" cm="1">
        <f t="array" ref="K7">ImpVol($B$1,$C7,$E7,$B$2,FALSE)</f>
        <v>0.15102522621634792</v>
      </c>
      <c r="L7" s="16"/>
      <c r="M7" s="16" cm="1">
        <f t="array" ref="M7">bs($B$1,$C7,G7,$B$2,TRUE)</f>
        <v>17.419999999999934</v>
      </c>
      <c r="N7" s="16" cm="1">
        <f t="array" ref="N7">bs($B$1,$C7,H7,$B$2,TRUE)</f>
        <v>17.660000000000014</v>
      </c>
      <c r="O7" s="17">
        <f t="shared" ref="O7:O25" si="1">I7</f>
        <v>466</v>
      </c>
      <c r="P7" s="16" cm="1">
        <f t="array" ref="P7">bs($B$1,$C7,J7,$B$2,FALSE)</f>
        <v>6.7899999999999787</v>
      </c>
      <c r="Q7" s="16" cm="1">
        <f t="array" ref="Q7">bs($B$1,$C7,K7,$B$2,FALSE)</f>
        <v>6.8399999999998506</v>
      </c>
      <c r="S7">
        <v>0.65600000000000003</v>
      </c>
      <c r="T7">
        <v>-0.34399999999999997</v>
      </c>
      <c r="U7">
        <f t="shared" ref="U7:U25" si="2">$B$1/C7</f>
        <v>1.018283261802575</v>
      </c>
      <c r="V7" cm="1">
        <f t="array" ref="V7">_xlfn.NORM.S.DIST(d_one(U7,(G7+H7)/2,$B$2),TRUE)</f>
        <v>0.61754187084785317</v>
      </c>
      <c r="W7">
        <f t="shared" ref="W7:W25" si="3">V7-1</f>
        <v>-0.38245812915214683</v>
      </c>
    </row>
    <row r="8" spans="1:23" x14ac:dyDescent="0.25">
      <c r="A8" s="17">
        <v>16.600000000000001</v>
      </c>
      <c r="B8" s="17">
        <v>16.88</v>
      </c>
      <c r="C8" s="17">
        <v>467</v>
      </c>
      <c r="D8" s="17">
        <v>7.02</v>
      </c>
      <c r="E8" s="17">
        <v>7.06</v>
      </c>
      <c r="G8" s="27" cm="1">
        <f t="array" ref="G8">ImpVol($B$1,$C8,$A8,$B$2,TRUE)</f>
        <v>0.1783617558233552</v>
      </c>
      <c r="H8" s="27" cm="1">
        <f t="array" ref="H8">ImpVol($B$1,$C8,$B8,$B$2,TRUE)</f>
        <v>0.18247926317353216</v>
      </c>
      <c r="I8" s="17">
        <f t="shared" si="0"/>
        <v>467</v>
      </c>
      <c r="J8" s="27" cm="1">
        <f t="array" ref="J8">ImpVol($B$1,$C8,$D8,$B$2,FALSE)</f>
        <v>0.14787119680281477</v>
      </c>
      <c r="K8" s="27" cm="1">
        <f t="array" ref="K8">ImpVol($B$1,$C8,$E8,$B$2,FALSE)</f>
        <v>0.14846736857664156</v>
      </c>
      <c r="L8" s="16"/>
      <c r="M8" s="16" cm="1">
        <f t="array" ref="M8">bs($B$1,$C8,G8,$B$2,TRUE)</f>
        <v>16.599999999999962</v>
      </c>
      <c r="N8" s="16" cm="1">
        <f t="array" ref="N8">bs($B$1,$C8,H8,$B$2,TRUE)</f>
        <v>16.879999999999956</v>
      </c>
      <c r="O8" s="17">
        <f t="shared" si="1"/>
        <v>467</v>
      </c>
      <c r="P8" s="16" cm="1">
        <f t="array" ref="P8">bs($B$1,$C8,J8,$B$2,FALSE)</f>
        <v>7.0199999999999187</v>
      </c>
      <c r="Q8" s="16" cm="1">
        <f t="array" ref="Q8">bs($B$1,$C8,K8,$B$2,FALSE)</f>
        <v>7.0600000000000298</v>
      </c>
      <c r="S8">
        <v>0.64400000000000002</v>
      </c>
      <c r="T8">
        <v>-0.35599999999999998</v>
      </c>
      <c r="U8">
        <f t="shared" si="2"/>
        <v>1.01610278372591</v>
      </c>
      <c r="V8" cm="1">
        <f t="array" ref="V8">_xlfn.NORM.S.DIST(d_one(U8,(G8+H8)/2,$B$2),TRUE)</f>
        <v>0.60688073048856639</v>
      </c>
      <c r="W8">
        <f t="shared" si="3"/>
        <v>-0.39311926951143361</v>
      </c>
    </row>
    <row r="9" spans="1:23" x14ac:dyDescent="0.25">
      <c r="A9" s="17">
        <v>15.89</v>
      </c>
      <c r="B9" s="17">
        <v>16.12</v>
      </c>
      <c r="C9" s="17">
        <v>468</v>
      </c>
      <c r="D9" s="17">
        <v>7.25</v>
      </c>
      <c r="E9" s="17">
        <v>7.3</v>
      </c>
      <c r="G9" s="27" cm="1">
        <f t="array" ref="G9">ImpVol($B$1,$C9,$A9,$B$2,TRUE)</f>
        <v>0.17640193198844481</v>
      </c>
      <c r="H9" s="27" cm="1">
        <f t="array" ref="H9">ImpVol($B$1,$C9,$B9,$B$2,TRUE)</f>
        <v>0.17975863488535079</v>
      </c>
      <c r="I9" s="17">
        <f t="shared" si="0"/>
        <v>468</v>
      </c>
      <c r="J9" s="27" cm="1">
        <f t="array" ref="J9">ImpVol($B$1,$C9,$D9,$B$2,FALSE)</f>
        <v>0.14530527308710417</v>
      </c>
      <c r="K9" s="27" cm="1">
        <f t="array" ref="K9">ImpVol($B$1,$C9,$E9,$B$2,FALSE)</f>
        <v>0.14604273813018542</v>
      </c>
      <c r="L9" s="16"/>
      <c r="M9" s="16" cm="1">
        <f t="array" ref="M9">bs($B$1,$C9,G9,$B$2,TRUE)</f>
        <v>15.889999999999974</v>
      </c>
      <c r="N9" s="16" cm="1">
        <f t="array" ref="N9">bs($B$1,$C9,H9,$B$2,TRUE)</f>
        <v>16.120000000000129</v>
      </c>
      <c r="O9" s="17">
        <f t="shared" si="1"/>
        <v>468</v>
      </c>
      <c r="P9" s="16" cm="1">
        <f t="array" ref="P9">bs($B$1,$C9,J9,$B$2,FALSE)</f>
        <v>7.2500000000000178</v>
      </c>
      <c r="Q9" s="16" cm="1">
        <f t="array" ref="Q9">bs($B$1,$C9,K9,$B$2,FALSE)</f>
        <v>7.2999999999999279</v>
      </c>
      <c r="S9">
        <v>0.63200000000000001</v>
      </c>
      <c r="T9">
        <v>-0.36799999999999999</v>
      </c>
      <c r="U9">
        <f t="shared" si="2"/>
        <v>1.0139316239316238</v>
      </c>
      <c r="V9" cm="1">
        <f t="array" ref="V9">_xlfn.NORM.S.DIST(d_one(U9,(G9+H9)/2,$B$2),TRUE)</f>
        <v>0.59547573802316101</v>
      </c>
      <c r="W9">
        <f t="shared" si="3"/>
        <v>-0.40452426197683899</v>
      </c>
    </row>
    <row r="10" spans="1:23" x14ac:dyDescent="0.25">
      <c r="A10" s="17">
        <v>15.14</v>
      </c>
      <c r="B10" s="17">
        <v>15.35</v>
      </c>
      <c r="C10" s="17">
        <v>469</v>
      </c>
      <c r="D10" s="17">
        <v>7.49</v>
      </c>
      <c r="E10" s="17">
        <v>7.54</v>
      </c>
      <c r="G10" s="27" cm="1">
        <f t="array" ref="G10">ImpVol($B$1,$C10,$A10,$B$2,TRUE)</f>
        <v>0.17370690227820909</v>
      </c>
      <c r="H10" s="27" cm="1">
        <f t="array" ref="H10">ImpVol($B$1,$C10,$B10,$B$2,TRUE)</f>
        <v>0.17675105655832701</v>
      </c>
      <c r="I10" s="17">
        <f t="shared" si="0"/>
        <v>469</v>
      </c>
      <c r="J10" s="27" cm="1">
        <f t="array" ref="J10">ImpVol($B$1,$C10,$D10,$B$2,FALSE)</f>
        <v>0.14271509993914572</v>
      </c>
      <c r="K10" s="27" cm="1">
        <f t="array" ref="K10">ImpVol($B$1,$C10,$E10,$B$2,FALSE)</f>
        <v>0.14344560832444334</v>
      </c>
      <c r="L10" s="16"/>
      <c r="M10" s="16" cm="1">
        <f t="array" ref="M10">bs($B$1,$C10,G10,$B$2,TRUE)</f>
        <v>15.139999999999906</v>
      </c>
      <c r="N10" s="16" cm="1">
        <f t="array" ref="N10">bs($B$1,$C10,H10,$B$2,TRUE)</f>
        <v>15.350000000000021</v>
      </c>
      <c r="O10" s="17">
        <f t="shared" si="1"/>
        <v>469</v>
      </c>
      <c r="P10" s="16" cm="1">
        <f t="array" ref="P10">bs($B$1,$C10,J10,$B$2,FALSE)</f>
        <v>7.489999999999962</v>
      </c>
      <c r="Q10" s="16" cm="1">
        <f t="array" ref="Q10">bs($B$1,$C10,K10,$B$2,FALSE)</f>
        <v>7.5400000000000356</v>
      </c>
      <c r="S10">
        <v>0.61899999999999999</v>
      </c>
      <c r="T10">
        <v>-0.38100000000000001</v>
      </c>
      <c r="U10">
        <f t="shared" si="2"/>
        <v>1.0117697228144988</v>
      </c>
      <c r="V10" cm="1">
        <f t="array" ref="V10">_xlfn.NORM.S.DIST(d_one(U10,(G10+H10)/2,$B$2),TRUE)</f>
        <v>0.58387993221714485</v>
      </c>
      <c r="W10">
        <f t="shared" si="3"/>
        <v>-0.41612006778285515</v>
      </c>
    </row>
    <row r="11" spans="1:23" x14ac:dyDescent="0.25">
      <c r="A11" s="17">
        <v>14.22</v>
      </c>
      <c r="B11" s="17">
        <v>14.6</v>
      </c>
      <c r="C11" s="17">
        <v>470</v>
      </c>
      <c r="D11" s="17">
        <v>7.75</v>
      </c>
      <c r="E11" s="17">
        <v>7.8</v>
      </c>
      <c r="G11" s="27" cm="1">
        <f t="array" ref="G11">ImpVol($B$1,$C11,$A11,$B$2,TRUE)</f>
        <v>0.16841047596652406</v>
      </c>
      <c r="H11" s="27" cm="1">
        <f t="array" ref="H11">ImpVol($B$1,$C11,$B11,$B$2,TRUE)</f>
        <v>0.17388663297165782</v>
      </c>
      <c r="I11" s="17">
        <f t="shared" si="0"/>
        <v>470</v>
      </c>
      <c r="J11" s="27" cm="1">
        <f t="array" ref="J11">ImpVol($B$1,$C11,$D11,$B$2,FALSE)</f>
        <v>0.14023575189789431</v>
      </c>
      <c r="K11" s="27" cm="1">
        <f t="array" ref="K11">ImpVol($B$1,$C11,$E11,$B$2,FALSE)</f>
        <v>0.14096009747557964</v>
      </c>
      <c r="L11" s="16"/>
      <c r="M11" s="16" cm="1">
        <f t="array" ref="M11">bs($B$1,$C11,G11,$B$2,TRUE)</f>
        <v>14.219999999999976</v>
      </c>
      <c r="N11" s="16" cm="1">
        <f t="array" ref="N11">bs($B$1,$C11,H11,$B$2,TRUE)</f>
        <v>14.599999999999998</v>
      </c>
      <c r="O11" s="17">
        <f t="shared" si="1"/>
        <v>470</v>
      </c>
      <c r="P11" s="16" cm="1">
        <f t="array" ref="P11">bs($B$1,$C11,J11,$B$2,FALSE)</f>
        <v>7.7500000000000071</v>
      </c>
      <c r="Q11" s="16" cm="1">
        <f t="array" ref="Q11">bs($B$1,$C11,K11,$B$2,FALSE)</f>
        <v>7.8000000000000993</v>
      </c>
      <c r="S11">
        <v>0.60599999999999998</v>
      </c>
      <c r="T11">
        <v>-0.39400000000000002</v>
      </c>
      <c r="U11">
        <f t="shared" si="2"/>
        <v>1.0096170212765958</v>
      </c>
      <c r="V11" cm="1">
        <f t="array" ref="V11">_xlfn.NORM.S.DIST(d_one(U11,(G11+H11)/2,$B$2),TRUE)</f>
        <v>0.57218812725622703</v>
      </c>
      <c r="W11">
        <f t="shared" si="3"/>
        <v>-0.42781187274377297</v>
      </c>
    </row>
    <row r="12" spans="1:23" x14ac:dyDescent="0.25">
      <c r="A12" s="17">
        <v>13.5</v>
      </c>
      <c r="B12" s="17">
        <v>13.86</v>
      </c>
      <c r="C12" s="17">
        <v>471</v>
      </c>
      <c r="D12" s="17">
        <v>8.02</v>
      </c>
      <c r="E12" s="17">
        <v>8.06</v>
      </c>
      <c r="G12" s="27" cm="1">
        <f t="array" ref="G12">ImpVol($B$1,$C12,$A12,$B$2,TRUE)</f>
        <v>0.16585118616460426</v>
      </c>
      <c r="H12" s="27" cm="1">
        <f t="array" ref="H12">ImpVol($B$1,$C12,$B12,$B$2,TRUE)</f>
        <v>0.17101167287089808</v>
      </c>
      <c r="I12" s="17">
        <f t="shared" si="0"/>
        <v>471</v>
      </c>
      <c r="J12" s="27" cm="1">
        <f t="array" ref="J12">ImpVol($B$1,$C12,$D12,$B$2,FALSE)</f>
        <v>0.13770990988834289</v>
      </c>
      <c r="K12" s="27" cm="1">
        <f t="array" ref="K12">ImpVol($B$1,$C12,$E12,$B$2,FALSE)</f>
        <v>0.13828518311489052</v>
      </c>
      <c r="L12" s="16"/>
      <c r="M12" s="16" cm="1">
        <f t="array" ref="M12">bs($B$1,$C12,G12,$B$2,TRUE)</f>
        <v>13.500000000000819</v>
      </c>
      <c r="N12" s="16" cm="1">
        <f t="array" ref="N12">bs($B$1,$C12,H12,$B$2,TRUE)</f>
        <v>13.860000000000662</v>
      </c>
      <c r="O12" s="17">
        <f t="shared" si="1"/>
        <v>471</v>
      </c>
      <c r="P12" s="16" cm="1">
        <f t="array" ref="P12">bs($B$1,$C12,J12,$B$2,FALSE)</f>
        <v>8.0200000000007865</v>
      </c>
      <c r="Q12" s="16" cm="1">
        <f t="array" ref="Q12">bs($B$1,$C12,K12,$B$2,FALSE)</f>
        <v>8.0600000000007732</v>
      </c>
      <c r="S12">
        <v>0.59299999999999997</v>
      </c>
      <c r="T12">
        <v>-0.40700000000000003</v>
      </c>
      <c r="U12">
        <f t="shared" si="2"/>
        <v>1.0074734607218683</v>
      </c>
      <c r="V12" cm="1">
        <f t="array" ref="V12">_xlfn.NORM.S.DIST(d_one(U12,(G12+H12)/2,$B$2),TRUE)</f>
        <v>0.55961863027602554</v>
      </c>
      <c r="W12">
        <f t="shared" si="3"/>
        <v>-0.44038136972397446</v>
      </c>
    </row>
    <row r="13" spans="1:23" x14ac:dyDescent="0.25">
      <c r="A13" s="17">
        <v>13</v>
      </c>
      <c r="B13" s="17">
        <v>13.07</v>
      </c>
      <c r="C13" s="17">
        <v>472</v>
      </c>
      <c r="D13" s="17">
        <v>8.2899999999999991</v>
      </c>
      <c r="E13" s="17">
        <v>8.33</v>
      </c>
      <c r="G13" s="27" cm="1">
        <f t="array" ref="G13">ImpVol($B$1,$C13,$A13,$B$2,TRUE)</f>
        <v>0.16626283263644565</v>
      </c>
      <c r="H13" s="27" cm="1">
        <f t="array" ref="H13">ImpVol($B$1,$C13,$B13,$B$2,TRUE)</f>
        <v>0.16726181639887386</v>
      </c>
      <c r="I13" s="17">
        <f t="shared" si="0"/>
        <v>472</v>
      </c>
      <c r="J13" s="27" cm="1">
        <f t="array" ref="J13">ImpVol($B$1,$C13,$D13,$B$2,FALSE)</f>
        <v>0.1349841857492457</v>
      </c>
      <c r="K13" s="27" cm="1">
        <f t="array" ref="K13">ImpVol($B$1,$C13,$E13,$B$2,FALSE)</f>
        <v>0.13555603028807586</v>
      </c>
      <c r="L13" s="16"/>
      <c r="M13" s="16" cm="1">
        <f t="array" ref="M13">bs($B$1,$C13,G13,$B$2,TRUE)</f>
        <v>12.999999999999886</v>
      </c>
      <c r="N13" s="16" cm="1">
        <f t="array" ref="N13">bs($B$1,$C13,H13,$B$2,TRUE)</f>
        <v>13.069999999999858</v>
      </c>
      <c r="O13" s="17">
        <f t="shared" si="1"/>
        <v>472</v>
      </c>
      <c r="P13" s="16" cm="1">
        <f t="array" ref="P13">bs($B$1,$C13,J13,$B$2,FALSE)</f>
        <v>8.2899999999998784</v>
      </c>
      <c r="Q13" s="16" cm="1">
        <f t="array" ref="Q13">bs($B$1,$C13,K13,$B$2,FALSE)</f>
        <v>8.3299999999998935</v>
      </c>
      <c r="S13">
        <v>0.57899999999999996</v>
      </c>
      <c r="T13">
        <v>-0.42100000000000004</v>
      </c>
      <c r="U13">
        <f t="shared" si="2"/>
        <v>1.0053389830508475</v>
      </c>
      <c r="V13" cm="1">
        <f t="array" ref="V13">_xlfn.NORM.S.DIST(d_one(U13,(G13+H13)/2,$B$2),TRUE)</f>
        <v>0.54647189663715801</v>
      </c>
      <c r="W13">
        <f t="shared" si="3"/>
        <v>-0.45352810336284199</v>
      </c>
    </row>
    <row r="14" spans="1:23" x14ac:dyDescent="0.25">
      <c r="A14" s="17">
        <v>12.29</v>
      </c>
      <c r="B14" s="17">
        <v>12.36</v>
      </c>
      <c r="C14" s="17">
        <v>473</v>
      </c>
      <c r="D14" s="17">
        <v>8.59</v>
      </c>
      <c r="E14" s="17">
        <v>8.64</v>
      </c>
      <c r="G14" s="27" cm="1">
        <f t="array" ref="G14">ImpVol($B$1,$C14,$A14,$B$2,TRUE)</f>
        <v>0.16349048884148609</v>
      </c>
      <c r="H14" s="27" cm="1">
        <f t="array" ref="H14">ImpVol($B$1,$C14,$B14,$B$2,TRUE)</f>
        <v>0.16448611284694373</v>
      </c>
      <c r="I14" s="17">
        <f t="shared" si="0"/>
        <v>473</v>
      </c>
      <c r="J14" s="27" cm="1">
        <f t="array" ref="J14">ImpVol($B$1,$C14,$D14,$B$2,FALSE)</f>
        <v>0.13247621736241383</v>
      </c>
      <c r="K14" s="27" cm="1">
        <f t="array" ref="K14">ImpVol($B$1,$C14,$E14,$B$2,FALSE)</f>
        <v>0.13318777765651604</v>
      </c>
      <c r="L14" s="16"/>
      <c r="M14" s="16" cm="1">
        <f t="array" ref="M14">bs($B$1,$C14,G14,$B$2,TRUE)</f>
        <v>12.290000000000036</v>
      </c>
      <c r="N14" s="16" cm="1">
        <f t="array" ref="N14">bs($B$1,$C14,H14,$B$2,TRUE)</f>
        <v>12.360000000000044</v>
      </c>
      <c r="O14" s="17">
        <f t="shared" si="1"/>
        <v>473</v>
      </c>
      <c r="P14" s="16" cm="1">
        <f t="array" ref="P14">bs($B$1,$C14,J14,$B$2,FALSE)</f>
        <v>8.5899999999999643</v>
      </c>
      <c r="Q14" s="16" cm="1">
        <f t="array" ref="Q14">bs($B$1,$C14,K14,$B$2,FALSE)</f>
        <v>8.6400000000000059</v>
      </c>
      <c r="S14">
        <v>0.56499999999999995</v>
      </c>
      <c r="T14">
        <v>-0.43500000000000005</v>
      </c>
      <c r="U14">
        <f t="shared" si="2"/>
        <v>1.0032135306553911</v>
      </c>
      <c r="V14" cm="1">
        <f t="array" ref="V14">_xlfn.NORM.S.DIST(d_one(U14,(G14+H14)/2,$B$2),TRUE)</f>
        <v>0.53309607887890853</v>
      </c>
      <c r="W14">
        <f t="shared" si="3"/>
        <v>-0.46690392112109147</v>
      </c>
    </row>
    <row r="15" spans="1:23" x14ac:dyDescent="0.25">
      <c r="A15" s="17">
        <v>11.6</v>
      </c>
      <c r="B15" s="17">
        <v>11.67</v>
      </c>
      <c r="C15" s="17">
        <v>474</v>
      </c>
      <c r="D15" s="17">
        <v>8.89</v>
      </c>
      <c r="E15" s="17">
        <v>8.93</v>
      </c>
      <c r="G15" s="27" cm="1">
        <f t="array" ref="G15">ImpVol($B$1,$C15,$A15,$B$2,TRUE)</f>
        <v>0.16082123300208875</v>
      </c>
      <c r="H15" s="27" cm="1">
        <f t="array" ref="H15">ImpVol($B$1,$C15,$B15,$B$2,TRUE)</f>
        <v>0.16181458796246401</v>
      </c>
      <c r="I15" s="17">
        <f t="shared" si="0"/>
        <v>474</v>
      </c>
      <c r="J15" s="27" cm="1">
        <f t="array" ref="J15">ImpVol($B$1,$C15,$D15,$B$2,FALSE)</f>
        <v>0.12974477310067442</v>
      </c>
      <c r="K15" s="27" cm="1">
        <f t="array" ref="K15">ImpVol($B$1,$C15,$E15,$B$2,FALSE)</f>
        <v>0.13031236445906261</v>
      </c>
      <c r="L15" s="16"/>
      <c r="M15" s="16" cm="1">
        <f t="array" ref="M15">bs($B$1,$C15,G15,$B$2,TRUE)</f>
        <v>11.599999999999893</v>
      </c>
      <c r="N15" s="16" cm="1">
        <f t="array" ref="N15">bs($B$1,$C15,H15,$B$2,TRUE)</f>
        <v>11.670000000000021</v>
      </c>
      <c r="O15" s="17">
        <f t="shared" si="1"/>
        <v>474</v>
      </c>
      <c r="P15" s="16" cm="1">
        <f t="array" ref="P15">bs($B$1,$C15,J15,$B$2,FALSE)</f>
        <v>8.8899999999999491</v>
      </c>
      <c r="Q15" s="16" cm="1">
        <f t="array" ref="Q15">bs($B$1,$C15,K15,$B$2,FALSE)</f>
        <v>8.9299999999999766</v>
      </c>
      <c r="S15">
        <v>0.55000000000000004</v>
      </c>
      <c r="T15">
        <v>-0.44999999999999996</v>
      </c>
      <c r="U15">
        <f t="shared" si="2"/>
        <v>1.0010970464135021</v>
      </c>
      <c r="V15" cm="1">
        <f t="array" ref="V15">_xlfn.NORM.S.DIST(d_one(U15,(G15+H15)/2,$B$2),TRUE)</f>
        <v>0.51926044170896535</v>
      </c>
      <c r="W15">
        <f t="shared" si="3"/>
        <v>-0.48073955829103465</v>
      </c>
    </row>
    <row r="16" spans="1:23" x14ac:dyDescent="0.25">
      <c r="A16" s="17">
        <v>10.93</v>
      </c>
      <c r="B16" s="17">
        <v>10.98</v>
      </c>
      <c r="C16" s="17">
        <v>475</v>
      </c>
      <c r="D16" s="17">
        <v>9.2100000000000009</v>
      </c>
      <c r="E16" s="17">
        <v>9.26</v>
      </c>
      <c r="G16" s="27" cm="1">
        <f t="array" ref="G16">ImpVol($B$1,$C16,$A16,$B$2,TRUE)</f>
        <v>0.1582459587156502</v>
      </c>
      <c r="H16" s="27" cm="1">
        <f t="array" ref="H16">ImpVol($B$1,$C16,$B16,$B$2,TRUE)</f>
        <v>0.15895472587454162</v>
      </c>
      <c r="I16" s="17">
        <f t="shared" si="0"/>
        <v>475</v>
      </c>
      <c r="J16" s="27" cm="1">
        <f t="array" ref="J16">ImpVol($B$1,$C16,$D16,$B$2,FALSE)</f>
        <v>0.12706164203738274</v>
      </c>
      <c r="K16" s="27" cm="1">
        <f t="array" ref="K16">ImpVol($B$1,$C16,$E16,$B$2,FALSE)</f>
        <v>0.12777035510674548</v>
      </c>
      <c r="L16" s="16"/>
      <c r="M16" s="16" cm="1">
        <f t="array" ref="M16">bs($B$1,$C16,G16,$B$2,TRUE)</f>
        <v>10.929999999999904</v>
      </c>
      <c r="N16" s="16" cm="1">
        <f t="array" ref="N16">bs($B$1,$C16,H16,$B$2,TRUE)</f>
        <v>10.980000000000103</v>
      </c>
      <c r="O16" s="17">
        <f t="shared" si="1"/>
        <v>475</v>
      </c>
      <c r="P16" s="16" cm="1">
        <f t="array" ref="P16">bs($B$1,$C16,J16,$B$2,FALSE)</f>
        <v>9.209999999999873</v>
      </c>
      <c r="Q16" s="16" cm="1">
        <f t="array" ref="Q16">bs($B$1,$C16,K16,$B$2,FALSE)</f>
        <v>9.2600000000000282</v>
      </c>
      <c r="S16">
        <v>0.53400000000000003</v>
      </c>
      <c r="T16">
        <v>-0.46599999999999997</v>
      </c>
      <c r="U16">
        <f t="shared" si="2"/>
        <v>0.99898947368421054</v>
      </c>
      <c r="V16" cm="1">
        <f t="array" ref="V16">_xlfn.NORM.S.DIST(d_one(U16,(G16+H16)/2,$B$2),TRUE)</f>
        <v>0.50496597889426698</v>
      </c>
      <c r="W16">
        <f t="shared" si="3"/>
        <v>-0.49503402110573302</v>
      </c>
    </row>
    <row r="17" spans="1:23" x14ac:dyDescent="0.25">
      <c r="A17" s="17">
        <v>10.27</v>
      </c>
      <c r="B17" s="17">
        <v>10.32</v>
      </c>
      <c r="C17" s="17">
        <v>476</v>
      </c>
      <c r="D17" s="17">
        <v>9.5500000000000007</v>
      </c>
      <c r="E17" s="17">
        <v>9.6</v>
      </c>
      <c r="G17" s="27" cm="1">
        <f t="array" ref="G17">ImpVol($B$1,$C17,$A17,$B$2,TRUE)</f>
        <v>0.1556135390728724</v>
      </c>
      <c r="H17" s="27" cm="1">
        <f t="array" ref="H17">ImpVol($B$1,$C17,$B17,$B$2,TRUE)</f>
        <v>0.15632246349535597</v>
      </c>
      <c r="I17" s="17">
        <f t="shared" si="0"/>
        <v>476</v>
      </c>
      <c r="J17" s="27" cm="1">
        <f t="array" ref="J17">ImpVol($B$1,$C17,$D17,$B$2,FALSE)</f>
        <v>0.12441187888551009</v>
      </c>
      <c r="K17" s="27" cm="1">
        <f t="array" ref="K17">ImpVol($B$1,$C17,$E17,$B$2,FALSE)</f>
        <v>0.12512126891916317</v>
      </c>
      <c r="L17" s="16"/>
      <c r="M17" s="16" cm="1">
        <f t="array" ref="M17">bs($B$1,$C17,G17,$B$2,TRUE)</f>
        <v>10.269999999999911</v>
      </c>
      <c r="N17" s="16" cm="1">
        <f t="array" ref="N17">bs($B$1,$C17,H17,$B$2,TRUE)</f>
        <v>10.319999999999963</v>
      </c>
      <c r="O17" s="17">
        <f t="shared" si="1"/>
        <v>476</v>
      </c>
      <c r="P17" s="16" cm="1">
        <f t="array" ref="P17">bs($B$1,$C17,J17,$B$2,FALSE)</f>
        <v>9.5499999999998764</v>
      </c>
      <c r="Q17" s="16" cm="1">
        <f t="array" ref="Q17">bs($B$1,$C17,K17,$B$2,FALSE)</f>
        <v>9.6</v>
      </c>
      <c r="S17">
        <v>0.51800000000000002</v>
      </c>
      <c r="T17">
        <v>-0.48199999999999998</v>
      </c>
      <c r="U17">
        <f t="shared" si="2"/>
        <v>0.996890756302521</v>
      </c>
      <c r="V17" cm="1">
        <f t="array" ref="V17">_xlfn.NORM.S.DIST(d_one(U17,(G17+H17)/2,$B$2),TRUE)</f>
        <v>0.49022210578908781</v>
      </c>
      <c r="W17">
        <f t="shared" si="3"/>
        <v>-0.50977789421091213</v>
      </c>
    </row>
    <row r="18" spans="1:23" x14ac:dyDescent="0.25">
      <c r="A18" s="17">
        <v>9.6300000000000008</v>
      </c>
      <c r="B18" s="17">
        <v>9.68</v>
      </c>
      <c r="C18" s="17">
        <v>477</v>
      </c>
      <c r="D18" s="17">
        <v>9.91</v>
      </c>
      <c r="E18" s="17">
        <v>9.9600000000000009</v>
      </c>
      <c r="G18" s="27" cm="1">
        <f t="array" ref="G18">ImpVol($B$1,$C18,$A18,$B$2,TRUE)</f>
        <v>0.15305558593401791</v>
      </c>
      <c r="H18" s="27" cm="1">
        <f t="array" ref="H18">ImpVol($B$1,$C18,$B18,$B$2,TRUE)</f>
        <v>0.15376568881141339</v>
      </c>
      <c r="I18" s="17">
        <f t="shared" si="0"/>
        <v>477</v>
      </c>
      <c r="J18" s="27" cm="1">
        <f t="array" ref="J18">ImpVol($B$1,$C18,$D18,$B$2,FALSE)</f>
        <v>0.12177939046221233</v>
      </c>
      <c r="K18" s="27" cm="1">
        <f t="array" ref="K18">ImpVol($B$1,$C18,$E18,$B$2,FALSE)</f>
        <v>0.12249109536671722</v>
      </c>
      <c r="L18" s="16"/>
      <c r="M18" s="16" cm="1">
        <f t="array" ref="M18">bs($B$1,$C18,G18,$B$2,TRUE)</f>
        <v>9.6299999999998782</v>
      </c>
      <c r="N18" s="16" cm="1">
        <f t="array" ref="N18">bs($B$1,$C18,H18,$B$2,TRUE)</f>
        <v>9.6799999999999091</v>
      </c>
      <c r="O18" s="17">
        <f t="shared" si="1"/>
        <v>477</v>
      </c>
      <c r="P18" s="16" cm="1">
        <f t="array" ref="P18">bs($B$1,$C18,J18,$B$2,FALSE)</f>
        <v>9.9099999999999611</v>
      </c>
      <c r="Q18" s="16" cm="1">
        <f t="array" ref="Q18">bs($B$1,$C18,K18,$B$2,FALSE)</f>
        <v>9.960000000000047</v>
      </c>
      <c r="S18">
        <v>0.502</v>
      </c>
      <c r="T18">
        <v>-0.498</v>
      </c>
      <c r="U18">
        <f t="shared" si="2"/>
        <v>0.99480083857442347</v>
      </c>
      <c r="V18" cm="1">
        <f t="array" ref="V18">_xlfn.NORM.S.DIST(d_one(U18,(G18+H18)/2,$B$2),TRUE)</f>
        <v>0.47504706924407336</v>
      </c>
      <c r="W18">
        <f t="shared" si="3"/>
        <v>-0.52495293075592664</v>
      </c>
    </row>
    <row r="19" spans="1:23" x14ac:dyDescent="0.25">
      <c r="A19" s="17">
        <v>9</v>
      </c>
      <c r="B19" s="17">
        <v>9.0500000000000007</v>
      </c>
      <c r="C19" s="17">
        <v>478</v>
      </c>
      <c r="D19" s="17">
        <v>10.28</v>
      </c>
      <c r="E19" s="17">
        <v>10.33</v>
      </c>
      <c r="G19" s="27" cm="1">
        <f t="array" ref="G19">ImpVol($B$1,$C19,$A19,$B$2,TRUE)</f>
        <v>0.15042030927553202</v>
      </c>
      <c r="H19" s="27" cm="1">
        <f t="array" ref="H19">ImpVol($B$1,$C19,$B19,$B$2,TRUE)</f>
        <v>0.15113271682676843</v>
      </c>
      <c r="I19" s="17">
        <f t="shared" si="0"/>
        <v>478</v>
      </c>
      <c r="J19" s="27" cm="1">
        <f t="array" ref="J19">ImpVol($B$1,$C19,$D19,$B$2,FALSE)</f>
        <v>0.1190051997596806</v>
      </c>
      <c r="K19" s="27" cm="1">
        <f t="array" ref="K19">ImpVol($B$1,$C19,$E19,$B$2,FALSE)</f>
        <v>0.11972110008420597</v>
      </c>
      <c r="L19" s="16"/>
      <c r="M19" s="16" cm="1">
        <f t="array" ref="M19">bs($B$1,$C19,G19,$B$2,TRUE)</f>
        <v>9.0000000000007105</v>
      </c>
      <c r="N19" s="16" cm="1">
        <f t="array" ref="N19">bs($B$1,$C19,H19,$B$2,TRUE)</f>
        <v>9.05000000000088</v>
      </c>
      <c r="O19" s="17">
        <f t="shared" si="1"/>
        <v>478</v>
      </c>
      <c r="P19" s="16" cm="1">
        <f t="array" ref="P19">bs($B$1,$C19,J19,$B$2,FALSE)</f>
        <v>10.280000000000163</v>
      </c>
      <c r="Q19" s="16" cm="1">
        <f t="array" ref="Q19">bs($B$1,$C19,K19,$B$2,FALSE)</f>
        <v>10.330000000000226</v>
      </c>
      <c r="S19">
        <v>0.48499999999999999</v>
      </c>
      <c r="T19">
        <v>-0.51500000000000001</v>
      </c>
      <c r="U19">
        <f t="shared" si="2"/>
        <v>0.99271966527196653</v>
      </c>
      <c r="V19" cm="1">
        <f t="array" ref="V19">_xlfn.NORM.S.DIST(d_one(U19,(G19+H19)/2,$B$2),TRUE)</f>
        <v>0.45940125380022462</v>
      </c>
      <c r="W19">
        <f t="shared" si="3"/>
        <v>-0.54059874619977544</v>
      </c>
    </row>
    <row r="20" spans="1:23" x14ac:dyDescent="0.25">
      <c r="A20" s="17">
        <v>8.39</v>
      </c>
      <c r="B20" s="17">
        <v>8.44</v>
      </c>
      <c r="C20" s="17">
        <v>479</v>
      </c>
      <c r="D20" s="17">
        <v>10.67</v>
      </c>
      <c r="E20" s="17">
        <v>10.72</v>
      </c>
      <c r="G20" s="27" cm="1">
        <f t="array" ref="G20">ImpVol($B$1,$C20,$A20,$B$2,TRUE)</f>
        <v>0.14783976622359885</v>
      </c>
      <c r="H20" s="27" cm="1">
        <f t="array" ref="H20">ImpVol($B$1,$C20,$B20,$B$2,TRUE)</f>
        <v>0.14855571826998007</v>
      </c>
      <c r="I20" s="17">
        <f t="shared" si="0"/>
        <v>479</v>
      </c>
      <c r="J20" s="27" cm="1">
        <f t="array" ref="J20">ImpVol($B$1,$C20,$D20,$B$2,FALSE)</f>
        <v>0.11621323917080378</v>
      </c>
      <c r="K20" s="27" cm="1">
        <f t="array" ref="K20">ImpVol($B$1,$C20,$E20,$B$2,FALSE)</f>
        <v>0.1169355009630639</v>
      </c>
      <c r="L20" s="16"/>
      <c r="M20" s="16" cm="1">
        <f t="array" ref="M20">bs($B$1,$C20,G20,$B$2,TRUE)</f>
        <v>8.3900000000000468</v>
      </c>
      <c r="N20" s="16" cm="1">
        <f t="array" ref="N20">bs($B$1,$C20,H20,$B$2,TRUE)</f>
        <v>8.4399999999999853</v>
      </c>
      <c r="O20" s="17">
        <f t="shared" si="1"/>
        <v>479</v>
      </c>
      <c r="P20" s="16" cm="1">
        <f t="array" ref="P20">bs($B$1,$C20,J20,$B$2,FALSE)</f>
        <v>10.670000000000591</v>
      </c>
      <c r="Q20" s="16" cm="1">
        <f t="array" ref="Q20">bs($B$1,$C20,K20,$B$2,FALSE)</f>
        <v>10.720000000000724</v>
      </c>
      <c r="S20">
        <v>0.46700000000000003</v>
      </c>
      <c r="T20">
        <v>-0.53299999999999992</v>
      </c>
      <c r="U20">
        <f t="shared" si="2"/>
        <v>0.99064718162839249</v>
      </c>
      <c r="V20" cm="1">
        <f t="array" ref="V20">_xlfn.NORM.S.DIST(d_one(U20,(G20+H20)/2,$B$2),TRUE)</f>
        <v>0.44333273141623686</v>
      </c>
      <c r="W20">
        <f t="shared" si="3"/>
        <v>-0.55666726858376314</v>
      </c>
    </row>
    <row r="21" spans="1:23" x14ac:dyDescent="0.25">
      <c r="A21" s="17">
        <v>7.8</v>
      </c>
      <c r="B21" s="17">
        <v>7.85</v>
      </c>
      <c r="C21" s="17">
        <v>480</v>
      </c>
      <c r="D21" s="17">
        <v>11.08</v>
      </c>
      <c r="E21" s="17">
        <v>11.13</v>
      </c>
      <c r="G21" s="27" cm="1">
        <f t="array" ref="G21">ImpVol($B$1,$C21,$A21,$B$2,TRUE)</f>
        <v>0.14530433622505284</v>
      </c>
      <c r="H21" s="27" cm="1">
        <f t="array" ref="H21">ImpVol($B$1,$C21,$B21,$B$2,TRUE)</f>
        <v>0.14602520340703376</v>
      </c>
      <c r="I21" s="17">
        <f t="shared" si="0"/>
        <v>480</v>
      </c>
      <c r="J21" s="27" cm="1">
        <f t="array" ref="J21">ImpVol($B$1,$C21,$D21,$B$2,FALSE)</f>
        <v>0.11338395134691601</v>
      </c>
      <c r="K21" s="27" cm="1">
        <f t="array" ref="K21">ImpVol($B$1,$C21,$E21,$B$2,FALSE)</f>
        <v>0.11411510665205182</v>
      </c>
      <c r="L21" s="16"/>
      <c r="M21" s="16" cm="1">
        <f t="array" ref="M21">bs($B$1,$C21,G21,$B$2,TRUE)</f>
        <v>7.7999999999999687</v>
      </c>
      <c r="N21" s="16" cm="1">
        <f t="array" ref="N21">bs($B$1,$C21,H21,$B$2,TRUE)</f>
        <v>7.8499999999999632</v>
      </c>
      <c r="O21" s="17">
        <f t="shared" si="1"/>
        <v>480</v>
      </c>
      <c r="P21" s="16" cm="1">
        <f t="array" ref="P21">bs($B$1,$C21,J21,$B$2,FALSE)</f>
        <v>11.08000000000111</v>
      </c>
      <c r="Q21" s="16" cm="1">
        <f t="array" ref="Q21">bs($B$1,$C21,K21,$B$2,FALSE)</f>
        <v>11.130000000001358</v>
      </c>
      <c r="S21">
        <v>0.45</v>
      </c>
      <c r="T21">
        <v>-0.55000000000000004</v>
      </c>
      <c r="U21">
        <f t="shared" si="2"/>
        <v>0.98858333333333326</v>
      </c>
      <c r="V21" cm="1">
        <f t="array" ref="V21">_xlfn.NORM.S.DIST(d_one(U21,(G21+H21)/2,$B$2),TRUE)</f>
        <v>0.42686066671042067</v>
      </c>
      <c r="W21">
        <f t="shared" si="3"/>
        <v>-0.57313933328957933</v>
      </c>
    </row>
    <row r="22" spans="1:23" x14ac:dyDescent="0.25">
      <c r="A22" s="17">
        <v>7.24</v>
      </c>
      <c r="B22" s="17">
        <v>7.28</v>
      </c>
      <c r="C22" s="17">
        <v>481</v>
      </c>
      <c r="D22" s="17">
        <v>11.41</v>
      </c>
      <c r="E22" s="17">
        <v>11.78</v>
      </c>
      <c r="G22" s="27" cm="1">
        <f t="array" ref="G22">ImpVol($B$1,$C22,$A22,$B$2,TRUE)</f>
        <v>0.1429499236651966</v>
      </c>
      <c r="H22" s="27" cm="1">
        <f t="array" ref="H22">ImpVol($B$1,$C22,$B22,$B$2,TRUE)</f>
        <v>0.14353174797039328</v>
      </c>
      <c r="I22" s="17">
        <f t="shared" si="0"/>
        <v>481</v>
      </c>
      <c r="J22" s="27" cm="1">
        <f t="array" ref="J22">ImpVol($B$1,$C22,$D22,$B$2,FALSE)</f>
        <v>0.10900774287341021</v>
      </c>
      <c r="K22" s="27" cm="1">
        <f t="array" ref="K22">ImpVol($B$1,$C22,$E22,$B$2,FALSE)</f>
        <v>0.11450186229446314</v>
      </c>
      <c r="L22" s="16"/>
      <c r="M22" s="16" cm="1">
        <f t="array" ref="M22">bs($B$1,$C22,G22,$B$2,TRUE)</f>
        <v>7.239999999999946</v>
      </c>
      <c r="N22" s="16" cm="1">
        <f t="array" ref="N22">bs($B$1,$C22,H22,$B$2,TRUE)</f>
        <v>7.2799999999999763</v>
      </c>
      <c r="O22" s="17">
        <f t="shared" si="1"/>
        <v>481</v>
      </c>
      <c r="P22" s="16" cm="1">
        <f t="array" ref="P22">bs($B$1,$C22,J22,$B$2,FALSE)</f>
        <v>11.410000000000634</v>
      </c>
      <c r="Q22" s="16" cm="1">
        <f t="array" ref="Q22">bs($B$1,$C22,K22,$B$2,FALSE)</f>
        <v>11.780000000003287</v>
      </c>
      <c r="S22">
        <v>0.432</v>
      </c>
      <c r="T22">
        <v>-0.56800000000000006</v>
      </c>
      <c r="U22">
        <f t="shared" si="2"/>
        <v>0.98652806652806646</v>
      </c>
      <c r="V22" cm="1">
        <f t="array" ref="V22">_xlfn.NORM.S.DIST(d_one(U22,(G22+H22)/2,$B$2),TRUE)</f>
        <v>0.41006059238534731</v>
      </c>
      <c r="W22">
        <f t="shared" si="3"/>
        <v>-0.58993940761465269</v>
      </c>
    </row>
    <row r="23" spans="1:23" x14ac:dyDescent="0.25">
      <c r="A23" s="17">
        <v>6.69</v>
      </c>
      <c r="B23" s="17">
        <v>6.74</v>
      </c>
      <c r="C23" s="17">
        <v>482</v>
      </c>
      <c r="D23" s="17">
        <v>11.86</v>
      </c>
      <c r="E23" s="17">
        <v>12.26</v>
      </c>
      <c r="G23" s="27" cm="1">
        <f t="array" ref="G23">ImpVol($B$1,$C23,$A23,$B$2,TRUE)</f>
        <v>0.14047759627387124</v>
      </c>
      <c r="H23" s="27" cm="1">
        <f t="array" ref="H23">ImpVol($B$1,$C23,$B23,$B$2,TRUE)</f>
        <v>0.14121296798428687</v>
      </c>
      <c r="I23" s="17">
        <f t="shared" si="0"/>
        <v>482</v>
      </c>
      <c r="J23" s="27" cm="1">
        <f t="array" ref="J23">ImpVol($B$1,$C23,$D23,$B$2,FALSE)</f>
        <v>0.10600309178595008</v>
      </c>
      <c r="K23" s="27" cm="1">
        <f t="array" ref="K23">ImpVol($B$1,$C23,$E23,$B$2,FALSE)</f>
        <v>0.11206279001421476</v>
      </c>
      <c r="L23" s="16"/>
      <c r="M23" s="16" cm="1">
        <f t="array" ref="M23">bs($B$1,$C23,G23,$B$2,TRUE)</f>
        <v>6.6899999999999693</v>
      </c>
      <c r="N23" s="16" cm="1">
        <f t="array" ref="N23">bs($B$1,$C23,H23,$B$2,TRUE)</f>
        <v>6.7400000000000286</v>
      </c>
      <c r="O23" s="17">
        <f t="shared" si="1"/>
        <v>482</v>
      </c>
      <c r="P23" s="16" cm="1">
        <f t="array" ref="P23">bs($B$1,$C23,J23,$B$2,FALSE)</f>
        <v>11.860000000000145</v>
      </c>
      <c r="Q23" s="16" cm="1">
        <f t="array" ref="Q23">bs($B$1,$C23,K23,$B$2,FALSE)</f>
        <v>12.260000000002943</v>
      </c>
      <c r="S23">
        <v>0.41299999999999998</v>
      </c>
      <c r="T23">
        <v>-0.58699999999999997</v>
      </c>
      <c r="U23">
        <f t="shared" si="2"/>
        <v>0.98448132780082986</v>
      </c>
      <c r="V23" cm="1">
        <f t="array" ref="V23">_xlfn.NORM.S.DIST(d_one(U23,(G23+H23)/2,$B$2),TRUE)</f>
        <v>0.39291730832015404</v>
      </c>
      <c r="W23">
        <f t="shared" si="3"/>
        <v>-0.60708269167984596</v>
      </c>
    </row>
    <row r="24" spans="1:23" x14ac:dyDescent="0.25">
      <c r="A24" s="17">
        <v>6.17</v>
      </c>
      <c r="B24" s="17">
        <v>6.22</v>
      </c>
      <c r="C24" s="17">
        <v>483</v>
      </c>
      <c r="D24" s="17">
        <v>12.34</v>
      </c>
      <c r="E24" s="17">
        <v>12.73</v>
      </c>
      <c r="G24" s="27" cm="1">
        <f t="array" ref="G24">ImpVol($B$1,$C24,$A24,$B$2,TRUE)</f>
        <v>0.13817096006169211</v>
      </c>
      <c r="H24" s="27" cm="1">
        <f t="array" ref="H24">ImpVol($B$1,$C24,$B24,$B$2,TRUE)</f>
        <v>0.13891625503759805</v>
      </c>
      <c r="I24" s="17">
        <f t="shared" si="0"/>
        <v>483</v>
      </c>
      <c r="J24" s="27" cm="1">
        <f t="array" ref="J24">ImpVol($B$1,$C24,$D24,$B$2,FALSE)</f>
        <v>0.1030313606114531</v>
      </c>
      <c r="K24" s="27" cm="1">
        <f t="array" ref="K24">ImpVol($B$1,$C24,$E24,$B$2,FALSE)</f>
        <v>0.1090909730887135</v>
      </c>
      <c r="L24" s="16"/>
      <c r="M24" s="16" cm="1">
        <f t="array" ref="M24">bs($B$1,$C24,G24,$B$2,TRUE)</f>
        <v>6.1699999999999715</v>
      </c>
      <c r="N24" s="16" cm="1">
        <f t="array" ref="N24">bs($B$1,$C24,H24,$B$2,TRUE)</f>
        <v>6.2200000000000442</v>
      </c>
      <c r="O24" s="17">
        <f t="shared" si="1"/>
        <v>483</v>
      </c>
      <c r="P24" s="16" cm="1">
        <f t="array" ref="P24">bs($B$1,$C24,J24,$B$2,FALSE)</f>
        <v>12.340000000000034</v>
      </c>
      <c r="Q24" s="16" cm="1">
        <f t="array" ref="Q24">bs($B$1,$C24,K24,$B$2,FALSE)</f>
        <v>12.730000000001031</v>
      </c>
      <c r="S24">
        <v>0.39500000000000002</v>
      </c>
      <c r="T24">
        <v>-0.60499999999999998</v>
      </c>
      <c r="U24">
        <f t="shared" si="2"/>
        <v>0.98244306418219463</v>
      </c>
      <c r="V24" cm="1">
        <f t="array" ref="V24">_xlfn.NORM.S.DIST(d_one(U24,(G24+H24)/2,$B$2),TRUE)</f>
        <v>0.37552955530942533</v>
      </c>
      <c r="W24">
        <f t="shared" si="3"/>
        <v>-0.62447044469057467</v>
      </c>
    </row>
    <row r="25" spans="1:23" x14ac:dyDescent="0.25">
      <c r="A25" s="17">
        <v>5.68</v>
      </c>
      <c r="B25" s="17">
        <v>5.72</v>
      </c>
      <c r="C25" s="17">
        <v>484</v>
      </c>
      <c r="D25" s="17">
        <v>12.77</v>
      </c>
      <c r="E25" s="17">
        <v>13.18</v>
      </c>
      <c r="G25" s="27" cm="1">
        <f t="array" ref="G25">ImpVol($B$1,$C25,$A25,$B$2,TRUE)</f>
        <v>0.13602734331349497</v>
      </c>
      <c r="H25" s="27" cm="1">
        <f t="array" ref="H25">ImpVol($B$1,$C25,$B25,$B$2,TRUE)</f>
        <v>0.13663313546011144</v>
      </c>
      <c r="I25" s="17">
        <f t="shared" si="0"/>
        <v>484</v>
      </c>
      <c r="J25" s="27" cm="1">
        <f t="array" ref="J25">ImpVol($B$1,$C25,$D25,$B$2,FALSE)</f>
        <v>9.8774492679536766E-2</v>
      </c>
      <c r="K25" s="27" cm="1">
        <f t="array" ref="K25">ImpVol($B$1,$C25,$E25,$B$2,FALSE)</f>
        <v>0.10536388095155706</v>
      </c>
      <c r="L25" s="16"/>
      <c r="M25" s="16" cm="1">
        <f t="array" ref="M25">bs($B$1,$C25,G25,$B$2,TRUE)</f>
        <v>5.679999999999942</v>
      </c>
      <c r="N25" s="16" cm="1">
        <f t="array" ref="N25">bs($B$1,$C25,H25,$B$2,TRUE)</f>
        <v>5.720000000000022</v>
      </c>
      <c r="O25" s="17">
        <f t="shared" si="1"/>
        <v>484</v>
      </c>
      <c r="P25" s="16" cm="1">
        <f t="array" ref="P25">bs($B$1,$C25,J25,$B$2,FALSE)</f>
        <v>12.769999999999971</v>
      </c>
      <c r="Q25" s="16" cm="1">
        <f t="array" ref="Q25">bs($B$1,$C25,K25,$B$2,FALSE)</f>
        <v>13.179999999999982</v>
      </c>
      <c r="S25">
        <v>0.376</v>
      </c>
      <c r="T25">
        <v>-0.624</v>
      </c>
      <c r="U25">
        <f t="shared" si="2"/>
        <v>0.98041322314049584</v>
      </c>
      <c r="V25" cm="1">
        <f t="array" ref="V25">_xlfn.NORM.S.DIST(d_one(U25,(G25+H25)/2,$B$2),TRUE)</f>
        <v>0.35795399094031322</v>
      </c>
      <c r="W25">
        <f t="shared" si="3"/>
        <v>-0.64204600905968678</v>
      </c>
    </row>
    <row r="29" spans="1:23" x14ac:dyDescent="0.25">
      <c r="C29" s="40" t="s">
        <v>107</v>
      </c>
      <c r="D29" s="40"/>
      <c r="E29" t="s">
        <v>72</v>
      </c>
    </row>
    <row r="30" spans="1:23" x14ac:dyDescent="0.25">
      <c r="C30" s="40"/>
      <c r="D30" s="40"/>
      <c r="E30" t="s">
        <v>73</v>
      </c>
    </row>
    <row r="31" spans="1:23" x14ac:dyDescent="0.25">
      <c r="E31" t="s">
        <v>79</v>
      </c>
    </row>
  </sheetData>
  <mergeCells count="5">
    <mergeCell ref="C29:D30"/>
    <mergeCell ref="G2:H3"/>
    <mergeCell ref="M2:N3"/>
    <mergeCell ref="S2:T3"/>
    <mergeCell ref="C3:D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B8A05-10BC-47A8-9906-0A019DA2AF59}">
  <sheetPr codeName="Sheet7"/>
  <dimension ref="A1:AA33"/>
  <sheetViews>
    <sheetView workbookViewId="0">
      <selection activeCell="AA17" sqref="AA17"/>
    </sheetView>
  </sheetViews>
  <sheetFormatPr defaultRowHeight="15" x14ac:dyDescent="0.25"/>
  <sheetData>
    <row r="1" spans="1:27" ht="15" customHeight="1" x14ac:dyDescent="0.25">
      <c r="A1" t="s">
        <v>5</v>
      </c>
      <c r="B1">
        <v>474.52</v>
      </c>
    </row>
    <row r="2" spans="1:27" ht="15" customHeight="1" x14ac:dyDescent="0.25">
      <c r="A2" t="s">
        <v>8</v>
      </c>
      <c r="B2">
        <v>0.1388888888888889</v>
      </c>
      <c r="W2" s="41" t="s">
        <v>116</v>
      </c>
      <c r="X2" s="41"/>
      <c r="Y2" s="41"/>
      <c r="Z2" s="41"/>
      <c r="AA2" s="41"/>
    </row>
    <row r="3" spans="1:27" x14ac:dyDescent="0.25">
      <c r="A3" t="s">
        <v>6</v>
      </c>
      <c r="B3">
        <v>-7.1152800555722654E-3</v>
      </c>
      <c r="C3" s="41" t="s">
        <v>112</v>
      </c>
      <c r="D3" s="41"/>
      <c r="H3" s="41" t="s">
        <v>113</v>
      </c>
      <c r="I3" s="41"/>
      <c r="N3" s="41" t="s">
        <v>114</v>
      </c>
      <c r="O3" s="41"/>
      <c r="W3" s="41"/>
      <c r="X3" s="41"/>
      <c r="Y3" s="41"/>
      <c r="Z3" s="41"/>
      <c r="AA3" s="41"/>
    </row>
    <row r="4" spans="1:27" x14ac:dyDescent="0.25">
      <c r="A4" t="s">
        <v>7</v>
      </c>
      <c r="B4">
        <v>-4.0133384798922034E-2</v>
      </c>
      <c r="C4" s="41"/>
      <c r="D4" s="41"/>
      <c r="G4" t="s">
        <v>20</v>
      </c>
      <c r="H4" s="41"/>
      <c r="I4" s="41"/>
      <c r="M4" t="s">
        <v>74</v>
      </c>
      <c r="N4" s="41"/>
      <c r="O4" s="41"/>
      <c r="S4" t="s">
        <v>77</v>
      </c>
      <c r="U4" t="s">
        <v>81</v>
      </c>
      <c r="W4" t="s">
        <v>82</v>
      </c>
      <c r="X4" t="s">
        <v>81</v>
      </c>
      <c r="Y4" t="s">
        <v>82</v>
      </c>
      <c r="Z4" t="s">
        <v>81</v>
      </c>
      <c r="AA4" t="s">
        <v>115</v>
      </c>
    </row>
    <row r="5" spans="1:27" x14ac:dyDescent="0.25">
      <c r="A5" s="16" t="s">
        <v>23</v>
      </c>
      <c r="B5" s="16" t="s">
        <v>25</v>
      </c>
      <c r="C5" s="16" t="s">
        <v>0</v>
      </c>
      <c r="D5" s="16" t="s">
        <v>23</v>
      </c>
      <c r="E5" s="16" t="s">
        <v>25</v>
      </c>
      <c r="G5" s="16" t="s">
        <v>23</v>
      </c>
      <c r="H5" s="16" t="s">
        <v>25</v>
      </c>
      <c r="I5" s="16" t="s">
        <v>0</v>
      </c>
      <c r="J5" s="16" t="s">
        <v>23</v>
      </c>
      <c r="K5" s="16" t="s">
        <v>25</v>
      </c>
      <c r="L5" s="16"/>
      <c r="M5" s="16" t="s">
        <v>23</v>
      </c>
      <c r="N5" s="16" t="s">
        <v>25</v>
      </c>
      <c r="O5" s="16" t="s">
        <v>0</v>
      </c>
      <c r="P5" s="16" t="s">
        <v>23</v>
      </c>
      <c r="Q5" s="16" t="s">
        <v>25</v>
      </c>
      <c r="S5" t="s">
        <v>75</v>
      </c>
      <c r="U5" t="s">
        <v>24</v>
      </c>
      <c r="V5" t="s">
        <v>0</v>
      </c>
      <c r="W5" t="s">
        <v>24</v>
      </c>
      <c r="X5" t="s">
        <v>83</v>
      </c>
      <c r="Y5" t="s">
        <v>83</v>
      </c>
      <c r="Z5" t="s">
        <v>10</v>
      </c>
    </row>
    <row r="6" spans="1:27" x14ac:dyDescent="0.25">
      <c r="A6" s="17">
        <v>18.2</v>
      </c>
      <c r="B6" s="17">
        <v>18.440000000000001</v>
      </c>
      <c r="C6" s="17">
        <v>465</v>
      </c>
      <c r="D6" s="17">
        <v>6.58</v>
      </c>
      <c r="E6" s="17">
        <v>6.62</v>
      </c>
      <c r="G6" s="27" cm="1">
        <f t="array" ref="G6">ImpVol2($B$1,$C6,$B$3,$B$4,A6,$B$2,TRUE)</f>
        <v>0.16270677966116334</v>
      </c>
      <c r="H6" s="27" cm="1">
        <f t="array" ref="H6">ImpVol2($B$1,$C6,$B$3,$B$4,B6,$B$2,TRUE)</f>
        <v>0.16642687589048349</v>
      </c>
      <c r="I6" s="17">
        <f>C6</f>
        <v>465</v>
      </c>
      <c r="J6" s="27" cm="1">
        <f t="array" ref="J6">ImpVol2($B$1,$C6,$B$3,$B$4,D6,$B$2,FALSE)</f>
        <v>0.16414441277428318</v>
      </c>
      <c r="K6" s="27" cm="1">
        <f t="array" ref="K6">ImpVol2($B$1,$C6,$B$3,$B$4,E6,$B$2,FALSE)</f>
        <v>0.16476449200993218</v>
      </c>
      <c r="L6" s="16"/>
      <c r="M6" s="17" cm="1">
        <f t="array" ref="M6">BS_more($B$1,$C6,$B$3,$B$4,G6,$B$2,TRUE)</f>
        <v>18.200000000000088</v>
      </c>
      <c r="N6" s="17" cm="1">
        <f t="array" ref="N6">BS_more($B$1,$C6,$B$3,$B$4,H6,$B$2,TRUE)</f>
        <v>18.440000000000015</v>
      </c>
      <c r="O6" s="17">
        <f>I6</f>
        <v>465</v>
      </c>
      <c r="P6" s="17" cm="1">
        <f t="array" ref="P6">BS_more($B$1,$C6,$B$3,$B$4,J6,$B$2,FALSE)</f>
        <v>6.5800000000000409</v>
      </c>
      <c r="Q6" s="17" cm="1">
        <f t="array" ref="Q6">BS_more($B$1,$C6,$B$3,$B$4,K6,$B$2,FALSE)</f>
        <v>6.6199999999999948</v>
      </c>
      <c r="S6" s="38">
        <v>0.66700000000000004</v>
      </c>
      <c r="U6">
        <v>18.32</v>
      </c>
      <c r="V6" s="18">
        <f t="shared" ref="V6:V25" si="0">C6</f>
        <v>465</v>
      </c>
      <c r="W6">
        <v>6.6</v>
      </c>
      <c r="X6" s="27" cm="1">
        <f t="array" ref="X6">ImpVol2($B$1,$C6,$B$3,$B$4,U6,$B$2,TRUE)</f>
        <v>0.16456854395809592</v>
      </c>
      <c r="Y6" s="27" cm="1">
        <f t="array" ref="Y6">ImpVol2($B$1,$C6,$B$3,$B$4,W6,$B$2,FALSE)</f>
        <v>0.16445450016690832</v>
      </c>
      <c r="Z6" s="38" cm="1">
        <f t="array" ref="Z6">EXP(-$B$4*$B$2) * _xlfn.NORM.S.DIST(d_one2($B$1,$C6,$B$3,$B$4,X6,$B$2),TRUE)</f>
        <v>0.67227481659461263</v>
      </c>
      <c r="AA6" s="43">
        <f>Z6/S6-1</f>
        <v>7.9082707565405475E-3</v>
      </c>
    </row>
    <row r="7" spans="1:27" x14ac:dyDescent="0.25">
      <c r="A7" s="17">
        <v>17.420000000000002</v>
      </c>
      <c r="B7" s="17">
        <v>17.66</v>
      </c>
      <c r="C7" s="17">
        <v>466</v>
      </c>
      <c r="D7" s="17">
        <v>6.79</v>
      </c>
      <c r="E7" s="17">
        <v>6.84</v>
      </c>
      <c r="G7" s="27" cm="1">
        <f t="array" ref="G7">ImpVol2($B$1,$C7,$B$3,$B$4,$A7,$B$2,TRUE)</f>
        <v>0.16059184966871443</v>
      </c>
      <c r="H7" s="27" cm="1">
        <f t="array" ref="H7">ImpVol2($B$1,$C7,$B$3,$B$4,B7,$B$2,TRUE)</f>
        <v>0.16426444734479742</v>
      </c>
      <c r="I7" s="17">
        <f t="shared" ref="I7:I25" si="1">C7</f>
        <v>466</v>
      </c>
      <c r="J7" s="27" cm="1">
        <f t="array" ref="J7">ImpVol2($B$1,$C7,$B$3,$B$4,D7,$B$2,FALSE)</f>
        <v>0.161842669063096</v>
      </c>
      <c r="K7" s="27" cm="1">
        <f t="array" ref="K7">ImpVol2($B$1,$C7,$B$3,$B$4,E7,$B$2,FALSE)</f>
        <v>0.16260792108703423</v>
      </c>
      <c r="L7" s="16"/>
      <c r="M7" s="17" cm="1">
        <f t="array" ref="M7">BS_more($B$1,$C7,$B$3,$B$4,G7,$B$2,TRUE)</f>
        <v>17.419999999999991</v>
      </c>
      <c r="N7" s="17" cm="1">
        <f t="array" ref="N7">BS_more($B$1,$C7,$B$3,$B$4,H7,$B$2,TRUE)</f>
        <v>17.660000000000103</v>
      </c>
      <c r="O7" s="17">
        <f t="shared" ref="O7:O25" si="2">I7</f>
        <v>466</v>
      </c>
      <c r="P7" s="17" cm="1">
        <f t="array" ref="P7">BS_more($B$1,$C7,$B$3,$B$4,J7,$B$2,FALSE)</f>
        <v>6.7899999999999832</v>
      </c>
      <c r="Q7" s="17" cm="1">
        <f t="array" ref="Q7">BS_more($B$1,$C7,$B$3,$B$4,K7,$B$2,FALSE)</f>
        <v>6.840000000000007</v>
      </c>
      <c r="S7" s="38">
        <v>0.65600000000000003</v>
      </c>
      <c r="U7">
        <v>17.54</v>
      </c>
      <c r="V7" s="18">
        <f t="shared" si="0"/>
        <v>466</v>
      </c>
      <c r="W7">
        <v>6.8149999999999995</v>
      </c>
      <c r="X7" s="27" cm="1">
        <f t="array" ref="X7">ImpVol2($B$1,$C7,$B$3,$B$4,U7,$B$2,TRUE)</f>
        <v>0.16242959921302316</v>
      </c>
      <c r="Y7" s="27" cm="1">
        <f t="array" ref="Y7">ImpVol2($B$1,$C7,$B$3,$B$4,W7,$B$2,FALSE)</f>
        <v>0.16222535829242868</v>
      </c>
      <c r="Z7" s="38" cm="1">
        <f t="array" ref="Z7">EXP(-$B$4*$B$2) * _xlfn.NORM.S.DIST(d_one2($B$1,$C7,$B$3,$B$4,X7,$B$2),TRUE)</f>
        <v>0.6610566805269904</v>
      </c>
      <c r="AA7" s="43">
        <f t="shared" ref="AA7:AA25" si="3">Z7/S7-1</f>
        <v>7.7083544618756772E-3</v>
      </c>
    </row>
    <row r="8" spans="1:27" x14ac:dyDescent="0.25">
      <c r="A8" s="17">
        <v>16.600000000000001</v>
      </c>
      <c r="B8" s="17">
        <v>16.88</v>
      </c>
      <c r="C8" s="17">
        <v>467</v>
      </c>
      <c r="D8" s="17">
        <v>7.02</v>
      </c>
      <c r="E8" s="17">
        <v>7.06</v>
      </c>
      <c r="G8" s="27" cm="1">
        <f t="array" ref="G8">ImpVol2($B$1,$C8,$B$3,$B$4,$A8,$B$2,TRUE)</f>
        <v>0.15772465718109682</v>
      </c>
      <c r="H8" s="27" cm="1">
        <f t="array" ref="H8">ImpVol2($B$1,$C8,$B$3,$B$4,B8,$B$2,TRUE)</f>
        <v>0.16195885113851527</v>
      </c>
      <c r="I8" s="17">
        <f t="shared" si="1"/>
        <v>467</v>
      </c>
      <c r="J8" s="27" cm="1">
        <f t="array" ref="J8">ImpVol2($B$1,$C8,$B$3,$B$4,D8,$B$2,FALSE)</f>
        <v>0.15970224754366524</v>
      </c>
      <c r="K8" s="27" cm="1">
        <f t="array" ref="K8">ImpVol2($B$1,$C8,$B$3,$B$4,E8,$B$2,FALSE)</f>
        <v>0.16030705366409126</v>
      </c>
      <c r="L8" s="16"/>
      <c r="M8" s="17" cm="1">
        <f t="array" ref="M8">BS_more($B$1,$C8,$B$3,$B$4,G8,$B$2,TRUE)</f>
        <v>16.599999999999966</v>
      </c>
      <c r="N8" s="17" cm="1">
        <f t="array" ref="N8">BS_more($B$1,$C8,$B$3,$B$4,H8,$B$2,TRUE)</f>
        <v>16.880000000000035</v>
      </c>
      <c r="O8" s="17">
        <f t="shared" si="2"/>
        <v>467</v>
      </c>
      <c r="P8" s="17" cm="1">
        <f t="array" ref="P8">BS_more($B$1,$C8,$B$3,$B$4,J8,$B$2,FALSE)</f>
        <v>7.0200000000000173</v>
      </c>
      <c r="Q8" s="17" cm="1">
        <f t="array" ref="Q8">BS_more($B$1,$C8,$B$3,$B$4,K8,$B$2,FALSE)</f>
        <v>7.0600000000000387</v>
      </c>
      <c r="S8" s="38">
        <v>0.64400000000000002</v>
      </c>
      <c r="U8">
        <v>16.740000000000002</v>
      </c>
      <c r="V8" s="18">
        <f t="shared" si="0"/>
        <v>467</v>
      </c>
      <c r="W8">
        <v>7.0399999999999991</v>
      </c>
      <c r="X8" s="27" cm="1">
        <f t="array" ref="X8">ImpVol2($B$1,$C8,$B$3,$B$4,U8,$B$2,TRUE)</f>
        <v>0.15984341207421066</v>
      </c>
      <c r="Y8" s="27" cm="1">
        <f t="array" ref="Y8">ImpVol2($B$1,$C8,$B$3,$B$4,W8,$B$2,FALSE)</f>
        <v>0.16000468432052009</v>
      </c>
      <c r="Z8" s="38" cm="1">
        <f t="array" ref="Z8">EXP(-$B$4*$B$2) * _xlfn.NORM.S.DIST(d_one2($B$1,$C8,$B$3,$B$4,X8,$B$2),TRUE)</f>
        <v>0.64975564359737525</v>
      </c>
      <c r="AA8" s="43">
        <f t="shared" si="3"/>
        <v>8.9373347785328683E-3</v>
      </c>
    </row>
    <row r="9" spans="1:27" x14ac:dyDescent="0.25">
      <c r="A9" s="17">
        <v>15.89</v>
      </c>
      <c r="B9" s="17">
        <v>16.12</v>
      </c>
      <c r="C9" s="17">
        <v>468</v>
      </c>
      <c r="D9" s="17">
        <v>7.25</v>
      </c>
      <c r="E9" s="17">
        <v>7.3</v>
      </c>
      <c r="G9" s="27" cm="1">
        <f t="array" ref="G9">ImpVol2($B$1,$C9,$B$3,$B$4,$A9,$B$2,TRUE)</f>
        <v>0.15636911593320146</v>
      </c>
      <c r="H9" s="27" cm="1">
        <f t="array" ref="H9">ImpVol2($B$1,$C9,$B$3,$B$4,B9,$B$2,TRUE)</f>
        <v>0.15980652373447995</v>
      </c>
      <c r="I9" s="17">
        <f t="shared" si="1"/>
        <v>468</v>
      </c>
      <c r="J9" s="27" cm="1">
        <f t="array" ref="J9">ImpVol2($B$1,$C9,$B$3,$B$4,D9,$B$2,FALSE)</f>
        <v>0.15741121984551934</v>
      </c>
      <c r="K9" s="27" cm="1">
        <f t="array" ref="K9">ImpVol2($B$1,$C9,$B$3,$B$4,E9,$B$2,FALSE)</f>
        <v>0.15815861756125255</v>
      </c>
      <c r="L9" s="16"/>
      <c r="M9" s="17" cm="1">
        <f t="array" ref="M9">BS_more($B$1,$C9,$B$3,$B$4,G9,$B$2,TRUE)</f>
        <v>15.889999999999917</v>
      </c>
      <c r="N9" s="17" cm="1">
        <f t="array" ref="N9">BS_more($B$1,$C9,$B$3,$B$4,H9,$B$2,TRUE)</f>
        <v>16.119999999999969</v>
      </c>
      <c r="O9" s="17">
        <f t="shared" si="2"/>
        <v>468</v>
      </c>
      <c r="P9" s="17" cm="1">
        <f t="array" ref="P9">BS_more($B$1,$C9,$B$3,$B$4,J9,$B$2,FALSE)</f>
        <v>7.2500000000000169</v>
      </c>
      <c r="Q9" s="17" cm="1">
        <f t="array" ref="Q9">BS_more($B$1,$C9,$B$3,$B$4,K9,$B$2,FALSE)</f>
        <v>7.3000000000000114</v>
      </c>
      <c r="S9" s="38">
        <v>0.63200000000000001</v>
      </c>
      <c r="U9">
        <v>16.005000000000003</v>
      </c>
      <c r="V9" s="18">
        <f t="shared" si="0"/>
        <v>468</v>
      </c>
      <c r="W9">
        <v>7.2750000000000004</v>
      </c>
      <c r="X9" s="27" cm="1">
        <f t="array" ref="X9">ImpVol2($B$1,$C9,$B$3,$B$4,U9,$B$2,TRUE)</f>
        <v>0.15808872515520156</v>
      </c>
      <c r="Y9" s="27" cm="1">
        <f t="array" ref="Y9">ImpVol2($B$1,$C9,$B$3,$B$4,W9,$B$2,FALSE)</f>
        <v>0.15778496174878315</v>
      </c>
      <c r="Z9" s="38" cm="1">
        <f t="array" ref="Z9">EXP(-$B$4*$B$2) * _xlfn.NORM.S.DIST(d_one2($B$1,$C9,$B$3,$B$4,X9,$B$2),TRUE)</f>
        <v>0.63741583664234025</v>
      </c>
      <c r="AA9" s="43">
        <f t="shared" si="3"/>
        <v>8.5693617758548779E-3</v>
      </c>
    </row>
    <row r="10" spans="1:27" x14ac:dyDescent="0.25">
      <c r="A10" s="17">
        <v>15.14</v>
      </c>
      <c r="B10" s="17">
        <v>15.35</v>
      </c>
      <c r="C10" s="17">
        <v>469</v>
      </c>
      <c r="D10" s="17">
        <v>7.49</v>
      </c>
      <c r="E10" s="17">
        <v>7.54</v>
      </c>
      <c r="G10" s="27" cm="1">
        <f t="array" ref="G10">ImpVol2($B$1,$C10,$B$3,$B$4,$A10,$B$2,TRUE)</f>
        <v>0.15424662013397433</v>
      </c>
      <c r="H10" s="27" cm="1">
        <f t="array" ref="H10">ImpVol2($B$1,$C10,$B$3,$B$4,B10,$B$2,TRUE)</f>
        <v>0.15735196236840096</v>
      </c>
      <c r="I10" s="17">
        <f t="shared" si="1"/>
        <v>469</v>
      </c>
      <c r="J10" s="27" cm="1">
        <f t="array" ref="J10">ImpVol2($B$1,$C10,$B$3,$B$4,D10,$B$2,FALSE)</f>
        <v>0.15511494672838988</v>
      </c>
      <c r="K10" s="27" cm="1">
        <f t="array" ref="K10">ImpVol2($B$1,$C10,$B$3,$B$4,E10,$B$2,FALSE)</f>
        <v>0.15585442784276601</v>
      </c>
      <c r="L10" s="16"/>
      <c r="M10" s="17" cm="1">
        <f t="array" ref="M10">BS_more($B$1,$C10,$B$3,$B$4,G10,$B$2,TRUE)</f>
        <v>15.139999999999961</v>
      </c>
      <c r="N10" s="17" cm="1">
        <f t="array" ref="N10">BS_more($B$1,$C10,$B$3,$B$4,H10,$B$2,TRUE)</f>
        <v>15.350000000000053</v>
      </c>
      <c r="O10" s="17">
        <f t="shared" si="2"/>
        <v>469</v>
      </c>
      <c r="P10" s="17" cm="1">
        <f t="array" ref="P10">BS_more($B$1,$C10,$B$3,$B$4,J10,$B$2,FALSE)</f>
        <v>7.4899999999999505</v>
      </c>
      <c r="Q10" s="17" cm="1">
        <f t="array" ref="Q10">BS_more($B$1,$C10,$B$3,$B$4,K10,$B$2,FALSE)</f>
        <v>7.5400000000000427</v>
      </c>
      <c r="S10" s="38">
        <v>0.61899999999999999</v>
      </c>
      <c r="U10">
        <v>15.245000000000001</v>
      </c>
      <c r="V10" s="18">
        <f t="shared" si="0"/>
        <v>469</v>
      </c>
      <c r="W10">
        <v>7.5150000000000006</v>
      </c>
      <c r="X10" s="27" cm="1">
        <f t="array" ref="X10">ImpVol2($B$1,$C10,$B$3,$B$4,U10,$B$2,TRUE)</f>
        <v>0.15579989353033905</v>
      </c>
      <c r="Y10" s="27" cm="1">
        <f t="array" ref="Y10">ImpVol2($B$1,$C10,$B$3,$B$4,W10,$B$2,FALSE)</f>
        <v>0.15548472164654795</v>
      </c>
      <c r="Z10" s="38" cm="1">
        <f t="array" ref="Z10">EXP(-$B$4*$B$2) * _xlfn.NORM.S.DIST(d_one2($B$1,$C10,$B$3,$B$4,X10,$B$2),TRUE)</f>
        <v>0.62501640122055635</v>
      </c>
      <c r="AA10" s="43">
        <f>Z10/S10-1</f>
        <v>9.7195496293318584E-3</v>
      </c>
    </row>
    <row r="11" spans="1:27" x14ac:dyDescent="0.25">
      <c r="A11" s="17">
        <v>14.22</v>
      </c>
      <c r="B11" s="17">
        <v>14.6</v>
      </c>
      <c r="C11" s="17">
        <v>470</v>
      </c>
      <c r="D11" s="17">
        <v>7.75</v>
      </c>
      <c r="E11" s="17">
        <v>7.8</v>
      </c>
      <c r="G11" s="27" cm="1">
        <f t="array" ref="G11">ImpVol2($B$1,$C11,$B$3,$B$4,$A11,$B$2,TRUE)</f>
        <v>0.14946820393557844</v>
      </c>
      <c r="H11" s="27" cm="1">
        <f t="array" ref="H11">ImpVol2($B$1,$C11,$B$3,$B$4,B11,$B$2,TRUE)</f>
        <v>0.15503541611491348</v>
      </c>
      <c r="I11" s="17">
        <f t="shared" si="1"/>
        <v>470</v>
      </c>
      <c r="J11" s="27" cm="1">
        <f t="array" ref="J11">ImpVol2($B$1,$C11,$B$3,$B$4,D11,$B$2,FALSE)</f>
        <v>0.15295208912704755</v>
      </c>
      <c r="K11" s="27" cm="1">
        <f t="array" ref="K11">ImpVol2($B$1,$C11,$B$3,$B$4,E11,$B$2,FALSE)</f>
        <v>0.15368429780311776</v>
      </c>
      <c r="L11" s="16"/>
      <c r="M11" s="17" cm="1">
        <f t="array" ref="M11">BS_more($B$1,$C11,$B$3,$B$4,G11,$B$2,TRUE)</f>
        <v>14.219999999999953</v>
      </c>
      <c r="N11" s="17" cm="1">
        <f t="array" ref="N11">BS_more($B$1,$C11,$B$3,$B$4,H11,$B$2,TRUE)</f>
        <v>14.600000000000042</v>
      </c>
      <c r="O11" s="17">
        <f t="shared" si="2"/>
        <v>470</v>
      </c>
      <c r="P11" s="17" cm="1">
        <f t="array" ref="P11">BS_more($B$1,$C11,$B$3,$B$4,J11,$B$2,FALSE)</f>
        <v>7.7499999999999423</v>
      </c>
      <c r="Q11" s="17" cm="1">
        <f t="array" ref="Q11">BS_more($B$1,$C11,$B$3,$B$4,K11,$B$2,FALSE)</f>
        <v>7.7999999999999607</v>
      </c>
      <c r="S11" s="38">
        <v>0.60599999999999998</v>
      </c>
      <c r="U11">
        <v>14.41</v>
      </c>
      <c r="V11" s="18">
        <f t="shared" si="0"/>
        <v>470</v>
      </c>
      <c r="W11">
        <v>7.7750000000000004</v>
      </c>
      <c r="X11" s="27" cm="1">
        <f t="array" ref="X11">ImpVol2($B$1,$C11,$B$3,$B$4,U11,$B$2,TRUE)</f>
        <v>0.15225337417345361</v>
      </c>
      <c r="Y11" s="27" cm="1">
        <f t="array" ref="Y11">ImpVol2($B$1,$C11,$B$3,$B$4,W11,$B$2,FALSE)</f>
        <v>0.153318219942851</v>
      </c>
      <c r="Z11" s="38" cm="1">
        <f t="array" ref="Z11">EXP(-$B$4*$B$2) * _xlfn.NORM.S.DIST(d_one2($B$1,$C11,$B$3,$B$4,X11,$B$2),TRUE)</f>
        <v>0.61285024107592423</v>
      </c>
      <c r="AA11" s="43">
        <f t="shared" si="3"/>
        <v>1.1304028178092729E-2</v>
      </c>
    </row>
    <row r="12" spans="1:27" x14ac:dyDescent="0.25">
      <c r="A12" s="17">
        <v>13.5</v>
      </c>
      <c r="B12" s="17">
        <v>13.86</v>
      </c>
      <c r="C12" s="17">
        <v>471</v>
      </c>
      <c r="D12" s="17">
        <v>8.02</v>
      </c>
      <c r="E12" s="17">
        <v>8.06</v>
      </c>
      <c r="G12" s="27" cm="1">
        <f t="array" ref="G12">ImpVol2($B$1,$C12,$B$3,$B$4,$A12,$B$2,TRUE)</f>
        <v>0.14747320095780636</v>
      </c>
      <c r="H12" s="27" cm="1">
        <f t="array" ref="H12">ImpVol2($B$1,$C12,$B$3,$B$4,B12,$B$2,TRUE)</f>
        <v>0.15269978671613546</v>
      </c>
      <c r="I12" s="17">
        <f t="shared" si="1"/>
        <v>471</v>
      </c>
      <c r="J12" s="27" cm="1">
        <f t="array" ref="J12">ImpVol2($B$1,$C12,$B$3,$B$4,D12,$B$2,FALSE)</f>
        <v>0.15076561202564492</v>
      </c>
      <c r="K12" s="27" cm="1">
        <f t="array" ref="K12">ImpVol2($B$1,$C12,$B$3,$B$4,E12,$B$2,FALSE)</f>
        <v>0.15134617084948762</v>
      </c>
      <c r="L12" s="16"/>
      <c r="M12" s="17" cm="1">
        <f t="array" ref="M12">BS_more($B$1,$C12,$B$3,$B$4,G12,$B$2,TRUE)</f>
        <v>13.500000000000115</v>
      </c>
      <c r="N12" s="17" cm="1">
        <f t="array" ref="N12">BS_more($B$1,$C12,$B$3,$B$4,H12,$B$2,TRUE)</f>
        <v>13.860000000000076</v>
      </c>
      <c r="O12" s="17">
        <f t="shared" si="2"/>
        <v>471</v>
      </c>
      <c r="P12" s="17" cm="1">
        <f t="array" ref="P12">BS_more($B$1,$C12,$B$3,$B$4,J12,$B$2,FALSE)</f>
        <v>8.0200000000001292</v>
      </c>
      <c r="Q12" s="17" cm="1">
        <f t="array" ref="Q12">BS_more($B$1,$C12,$B$3,$B$4,K12,$B$2,FALSE)</f>
        <v>8.0599999999999863</v>
      </c>
      <c r="S12" s="38">
        <v>0.59299999999999997</v>
      </c>
      <c r="U12">
        <v>13.68</v>
      </c>
      <c r="V12" s="18">
        <f t="shared" si="0"/>
        <v>471</v>
      </c>
      <c r="W12">
        <v>8.0399999999999991</v>
      </c>
      <c r="X12" s="27" cm="1">
        <f t="array" ref="X12">ImpVol2($B$1,$C12,$B$3,$B$4,U12,$B$2,TRUE)</f>
        <v>0.15008752917665638</v>
      </c>
      <c r="Y12" s="27" cm="1">
        <f t="array" ref="Y12">ImpVol2($B$1,$C12,$B$3,$B$4,W12,$B$2,FALSE)</f>
        <v>0.15105590395832139</v>
      </c>
      <c r="Z12" s="38" cm="1">
        <f t="array" ref="Z12">EXP(-$B$4*$B$2) * _xlfn.NORM.S.DIST(d_one2($B$1,$C12,$B$3,$B$4,X12,$B$2),TRUE)</f>
        <v>0.59935521115204804</v>
      </c>
      <c r="AA12" s="43">
        <f t="shared" si="3"/>
        <v>1.071705084662411E-2</v>
      </c>
    </row>
    <row r="13" spans="1:27" x14ac:dyDescent="0.25">
      <c r="A13" s="17">
        <v>13</v>
      </c>
      <c r="B13" s="17">
        <v>13.07</v>
      </c>
      <c r="C13" s="17">
        <v>472</v>
      </c>
      <c r="D13" s="17">
        <v>8.2899999999999991</v>
      </c>
      <c r="E13" s="17">
        <v>8.33</v>
      </c>
      <c r="G13" s="27" cm="1">
        <f t="array" ref="G13">ImpVol2($B$1,$C13,$B$3,$B$4,$A13,$B$2,TRUE)</f>
        <v>0.14846541339094366</v>
      </c>
      <c r="H13" s="27" cm="1">
        <f t="array" ref="H13">ImpVol2($B$1,$C13,$B$3,$B$4,B13,$B$2,TRUE)</f>
        <v>0.14947331847507869</v>
      </c>
      <c r="I13" s="17">
        <f t="shared" si="1"/>
        <v>472</v>
      </c>
      <c r="J13" s="27" cm="1">
        <f t="array" ref="J13">ImpVol2($B$1,$C13,$B$3,$B$4,D13,$B$2,FALSE)</f>
        <v>0.14840380627099195</v>
      </c>
      <c r="K13" s="27" cm="1">
        <f t="array" ref="K13">ImpVol2($B$1,$C13,$B$3,$B$4,E13,$B$2,FALSE)</f>
        <v>0.14897978544115884</v>
      </c>
      <c r="L13" s="16"/>
      <c r="M13" s="17" cm="1">
        <f t="array" ref="M13">BS_more($B$1,$C13,$B$3,$B$4,G13,$B$2,TRUE)</f>
        <v>13.000000000000101</v>
      </c>
      <c r="N13" s="17" cm="1">
        <f t="array" ref="N13">BS_more($B$1,$C13,$B$3,$B$4,H13,$B$2,TRUE)</f>
        <v>13.069999999999933</v>
      </c>
      <c r="O13" s="17">
        <f t="shared" si="2"/>
        <v>472</v>
      </c>
      <c r="P13" s="17" cm="1">
        <f t="array" ref="P13">BS_more($B$1,$C13,$B$3,$B$4,J13,$B$2,FALSE)</f>
        <v>8.290000000000024</v>
      </c>
      <c r="Q13" s="17" cm="1">
        <f t="array" ref="Q13">BS_more($B$1,$C13,$B$3,$B$4,K13,$B$2,FALSE)</f>
        <v>8.3300000000000711</v>
      </c>
      <c r="S13" s="38">
        <v>0.57899999999999996</v>
      </c>
      <c r="U13">
        <v>13.035</v>
      </c>
      <c r="V13" s="18">
        <f t="shared" si="0"/>
        <v>472</v>
      </c>
      <c r="W13">
        <v>8.3099999999999987</v>
      </c>
      <c r="X13" s="27" cm="1">
        <f t="array" ref="X13">ImpVol2($B$1,$C13,$B$3,$B$4,U13,$B$2,TRUE)</f>
        <v>0.14896939244814442</v>
      </c>
      <c r="Y13" s="27" cm="1">
        <f t="array" ref="Y13">ImpVol2($B$1,$C13,$B$3,$B$4,W13,$B$2,FALSE)</f>
        <v>0.14869180456518691</v>
      </c>
      <c r="Z13" s="38" cm="1">
        <f t="array" ref="Z13">EXP(-$B$4*$B$2) * _xlfn.NORM.S.DIST(d_one2($B$1,$C13,$B$3,$B$4,X13,$B$2),TRUE)</f>
        <v>0.58496234970459005</v>
      </c>
      <c r="AA13" s="43">
        <f t="shared" si="3"/>
        <v>1.0297667883575334E-2</v>
      </c>
    </row>
    <row r="14" spans="1:27" x14ac:dyDescent="0.25">
      <c r="A14" s="17">
        <v>12.29</v>
      </c>
      <c r="B14" s="17">
        <v>12.36</v>
      </c>
      <c r="C14" s="17">
        <v>473</v>
      </c>
      <c r="D14" s="17">
        <v>8.59</v>
      </c>
      <c r="E14" s="17">
        <v>8.64</v>
      </c>
      <c r="G14" s="27" cm="1">
        <f t="array" ref="G14">ImpVol2($B$1,$C14,$B$3,$B$4,$A14,$B$2,TRUE)</f>
        <v>0.1462229937707982</v>
      </c>
      <c r="H14" s="27" cm="1">
        <f t="array" ref="H14">ImpVol2($B$1,$C14,$B$3,$B$4,B14,$B$2,TRUE)</f>
        <v>0.14722402194504938</v>
      </c>
      <c r="I14" s="17">
        <f t="shared" si="1"/>
        <v>473</v>
      </c>
      <c r="J14" s="27" cm="1">
        <f t="array" ref="J14">ImpVol2($B$1,$C14,$B$3,$B$4,D14,$B$2,FALSE)</f>
        <v>0.14629068298703568</v>
      </c>
      <c r="K14" s="27" cm="1">
        <f t="array" ref="K14">ImpVol2($B$1,$C14,$B$3,$B$4,E14,$B$2,FALSE)</f>
        <v>0.14700571026187437</v>
      </c>
      <c r="L14" s="16"/>
      <c r="M14" s="17" cm="1">
        <f t="array" ref="M14">BS_more($B$1,$C14,$B$3,$B$4,G14,$B$2,TRUE)</f>
        <v>12.290000000001401</v>
      </c>
      <c r="N14" s="17" cm="1">
        <f t="array" ref="N14">BS_more($B$1,$C14,$B$3,$B$4,H14,$B$2,TRUE)</f>
        <v>12.360000000001484</v>
      </c>
      <c r="O14" s="17">
        <f t="shared" si="2"/>
        <v>473</v>
      </c>
      <c r="P14" s="17" cm="1">
        <f t="array" ref="P14">BS_more($B$1,$C14,$B$3,$B$4,J14,$B$2,FALSE)</f>
        <v>8.5900000000014121</v>
      </c>
      <c r="Q14" s="17" cm="1">
        <f t="array" ref="Q14">BS_more($B$1,$C14,$B$3,$B$4,K14,$B$2,FALSE)</f>
        <v>8.6400000000014963</v>
      </c>
      <c r="S14" s="38">
        <v>0.56499999999999995</v>
      </c>
      <c r="U14">
        <v>12.324999999999999</v>
      </c>
      <c r="V14" s="18">
        <f t="shared" si="0"/>
        <v>473</v>
      </c>
      <c r="W14">
        <v>8.6150000000000002</v>
      </c>
      <c r="X14" s="27" cm="1">
        <f t="array" ref="X14">ImpVol2($B$1,$C14,$B$3,$B$4,U14,$B$2,TRUE)</f>
        <v>0.14672352457353477</v>
      </c>
      <c r="Y14" s="27" cm="1">
        <f t="array" ref="Y14">ImpVol2($B$1,$C14,$B$3,$B$4,W14,$B$2,FALSE)</f>
        <v>0.14664820516675942</v>
      </c>
      <c r="Z14" s="38" cm="1">
        <f t="array" ref="Z14">EXP(-$B$4*$B$2) * _xlfn.NORM.S.DIST(d_one2($B$1,$C14,$B$3,$B$4,X14,$B$2),TRUE)</f>
        <v>0.57062005747716804</v>
      </c>
      <c r="AA14" s="43">
        <f t="shared" si="3"/>
        <v>9.947004384368352E-3</v>
      </c>
    </row>
    <row r="15" spans="1:27" x14ac:dyDescent="0.25">
      <c r="A15" s="17">
        <v>11.6</v>
      </c>
      <c r="B15" s="17">
        <v>11.67</v>
      </c>
      <c r="C15" s="17">
        <v>474</v>
      </c>
      <c r="D15" s="17">
        <v>8.89</v>
      </c>
      <c r="E15" s="17">
        <v>8.93</v>
      </c>
      <c r="G15" s="27" cm="1">
        <f t="array" ref="G15">ImpVol2($B$1,$C15,$B$3,$B$4,$A15,$B$2,TRUE)</f>
        <v>0.14407480752139734</v>
      </c>
      <c r="H15" s="27" cm="1">
        <f t="array" ref="H15">ImpVol2($B$1,$C15,$B$3,$B$4,B15,$B$2,TRUE)</f>
        <v>0.14507017882242715</v>
      </c>
      <c r="I15" s="17">
        <f t="shared" si="1"/>
        <v>474</v>
      </c>
      <c r="J15" s="27" cm="1">
        <f t="array" ref="J15">ImpVol2($B$1,$C15,$B$3,$B$4,D15,$B$2,FALSE)</f>
        <v>0.14398585141153181</v>
      </c>
      <c r="K15" s="27" cm="1">
        <f t="array" ref="K15">ImpVol2($B$1,$C15,$B$3,$B$4,E15,$B$2,FALSE)</f>
        <v>0.14455464740211993</v>
      </c>
      <c r="L15" s="16"/>
      <c r="M15" s="17" cm="1">
        <f t="array" ref="M15">BS_more($B$1,$C15,$B$3,$B$4,G15,$B$2,TRUE)</f>
        <v>11.600000000000025</v>
      </c>
      <c r="N15" s="17" cm="1">
        <f t="array" ref="N15">BS_more($B$1,$C15,$B$3,$B$4,H15,$B$2,TRUE)</f>
        <v>11.669999999999943</v>
      </c>
      <c r="O15" s="17">
        <f t="shared" si="2"/>
        <v>474</v>
      </c>
      <c r="P15" s="17" cm="1">
        <f t="array" ref="P15">BS_more($B$1,$C15,$B$3,$B$4,J15,$B$2,FALSE)</f>
        <v>8.8899999999998762</v>
      </c>
      <c r="Q15" s="17" cm="1">
        <f t="array" ref="Q15">BS_more($B$1,$C15,$B$3,$B$4,K15,$B$2,FALSE)</f>
        <v>8.9300000000000388</v>
      </c>
      <c r="S15" s="38">
        <v>0.55000000000000004</v>
      </c>
      <c r="U15">
        <v>11.635</v>
      </c>
      <c r="V15" s="18">
        <f t="shared" si="0"/>
        <v>474</v>
      </c>
      <c r="W15">
        <v>8.91</v>
      </c>
      <c r="X15" s="27" cm="1">
        <f t="array" ref="X15">ImpVol2($B$1,$C15,$B$3,$B$4,U15,$B$2,TRUE)</f>
        <v>0.14457250208555811</v>
      </c>
      <c r="Y15" s="27" cm="1">
        <f t="array" ref="Y15">ImpVol2($B$1,$C15,$B$3,$B$4,W15,$B$2,FALSE)</f>
        <v>0.14427025233753402</v>
      </c>
      <c r="Z15" s="38" cm="1">
        <f t="array" ref="Z15">EXP(-$B$4*$B$2) * _xlfn.NORM.S.DIST(d_one2($B$1,$C15,$B$3,$B$4,X15,$B$2),TRUE)</f>
        <v>0.55575663338348091</v>
      </c>
      <c r="AA15" s="43">
        <f t="shared" si="3"/>
        <v>1.0466606151783298E-2</v>
      </c>
    </row>
    <row r="16" spans="1:27" x14ac:dyDescent="0.25">
      <c r="A16" s="17">
        <v>10.93</v>
      </c>
      <c r="B16" s="17">
        <v>10.98</v>
      </c>
      <c r="C16" s="17">
        <v>475</v>
      </c>
      <c r="D16" s="17">
        <v>9.2100000000000009</v>
      </c>
      <c r="E16" s="17">
        <v>9.26</v>
      </c>
      <c r="G16" s="27" cm="1">
        <f t="array" ref="G16">ImpVol2($B$1,$C16,$B$3,$B$4,$A16,$B$2,TRUE)</f>
        <v>0.1420101249406113</v>
      </c>
      <c r="H16" s="27" cm="1">
        <f t="array" ref="H16">ImpVol2($B$1,$C16,$B$3,$B$4,B16,$B$2,TRUE)</f>
        <v>0.14271801204340656</v>
      </c>
      <c r="I16" s="17">
        <f t="shared" si="1"/>
        <v>475</v>
      </c>
      <c r="J16" s="27" cm="1">
        <f t="array" ref="J16">ImpVol2($B$1,$C16,$B$3,$B$4,D16,$B$2,FALSE)</f>
        <v>0.14176598057454387</v>
      </c>
      <c r="K16" s="27" cm="1">
        <f t="array" ref="K16">ImpVol2($B$1,$C16,$B$3,$B$4,E16,$B$2,FALSE)</f>
        <v>0.14247387235596137</v>
      </c>
      <c r="L16" s="16"/>
      <c r="M16" s="17" cm="1">
        <f t="array" ref="M16">BS_more($B$1,$C16,$B$3,$B$4,G16,$B$2,TRUE)</f>
        <v>10.929999999999932</v>
      </c>
      <c r="N16" s="17" cm="1">
        <f t="array" ref="N16">BS_more($B$1,$C16,$B$3,$B$4,H16,$B$2,TRUE)</f>
        <v>10.979999999999999</v>
      </c>
      <c r="O16" s="17">
        <f t="shared" si="2"/>
        <v>475</v>
      </c>
      <c r="P16" s="17" cm="1">
        <f t="array" ref="P16">BS_more($B$1,$C16,$B$3,$B$4,J16,$B$2,FALSE)</f>
        <v>9.2100000000000275</v>
      </c>
      <c r="Q16" s="17" cm="1">
        <f t="array" ref="Q16">BS_more($B$1,$C16,$B$3,$B$4,K16,$B$2,FALSE)</f>
        <v>9.2600000000000016</v>
      </c>
      <c r="S16" s="38">
        <v>0.53400000000000003</v>
      </c>
      <c r="U16">
        <v>10.955</v>
      </c>
      <c r="V16" s="18">
        <f t="shared" si="0"/>
        <v>475</v>
      </c>
      <c r="W16">
        <v>9.2349999999999994</v>
      </c>
      <c r="X16" s="27" cm="1">
        <f t="array" ref="X16">ImpVol2($B$1,$C16,$B$3,$B$4,U16,$B$2,TRUE)</f>
        <v>0.14236407018227276</v>
      </c>
      <c r="Y16" s="27" cm="1">
        <f t="array" ref="Y16">ImpVol2($B$1,$C16,$B$3,$B$4,W16,$B$2,FALSE)</f>
        <v>0.14211992816639013</v>
      </c>
      <c r="Z16" s="38" cm="1">
        <f t="array" ref="Z16">EXP(-$B$4*$B$2) * _xlfn.NORM.S.DIST(d_one2($B$1,$C16,$B$3,$B$4,X16,$B$2),TRUE)</f>
        <v>0.54041204633267381</v>
      </c>
      <c r="AA16" s="43">
        <f t="shared" si="3"/>
        <v>1.200757740201075E-2</v>
      </c>
    </row>
    <row r="17" spans="1:27" x14ac:dyDescent="0.25">
      <c r="A17" s="17">
        <v>10.27</v>
      </c>
      <c r="B17" s="17">
        <v>10.32</v>
      </c>
      <c r="C17" s="17">
        <v>476</v>
      </c>
      <c r="D17" s="17">
        <v>9.5500000000000007</v>
      </c>
      <c r="E17" s="17">
        <v>9.6</v>
      </c>
      <c r="G17" s="27" cm="1">
        <f t="array" ref="G17">ImpVol2($B$1,$C17,$B$3,$B$4,$A17,$B$2,TRUE)</f>
        <v>0.13987759990529794</v>
      </c>
      <c r="H17" s="27" cm="1">
        <f t="array" ref="H17">ImpVol2($B$1,$C17,$B$3,$B$4,B17,$B$2,TRUE)</f>
        <v>0.14058341053459059</v>
      </c>
      <c r="I17" s="17">
        <f t="shared" si="1"/>
        <v>476</v>
      </c>
      <c r="J17" s="27" cm="1">
        <f t="array" ref="J17">ImpVol2($B$1,$C17,$B$3,$B$4,D17,$B$2,FALSE)</f>
        <v>0.13962021773027661</v>
      </c>
      <c r="K17" s="27" cm="1">
        <f t="array" ref="K17">ImpVol2($B$1,$C17,$B$3,$B$4,E17,$B$2,FALSE)</f>
        <v>0.1403260285090423</v>
      </c>
      <c r="L17" s="16"/>
      <c r="M17" s="17" cm="1">
        <f t="array" ref="M17">BS_more($B$1,$C17,$B$3,$B$4,G17,$B$2,TRUE)</f>
        <v>10.269999999999959</v>
      </c>
      <c r="N17" s="17" cm="1">
        <f t="array" ref="N17">BS_more($B$1,$C17,$B$3,$B$4,H17,$B$2,TRUE)</f>
        <v>10.320000000000109</v>
      </c>
      <c r="O17" s="17">
        <f t="shared" si="2"/>
        <v>476</v>
      </c>
      <c r="P17" s="17" cm="1">
        <f t="array" ref="P17">BS_more($B$1,$C17,$B$3,$B$4,J17,$B$2,FALSE)</f>
        <v>9.5499999999999972</v>
      </c>
      <c r="Q17" s="17" cm="1">
        <f t="array" ref="Q17">BS_more($B$1,$C17,$B$3,$B$4,K17,$B$2,FALSE)</f>
        <v>9.5999999999998931</v>
      </c>
      <c r="S17" s="38">
        <v>0.51800000000000002</v>
      </c>
      <c r="U17">
        <v>10.295</v>
      </c>
      <c r="V17" s="18">
        <f t="shared" si="0"/>
        <v>476</v>
      </c>
      <c r="W17">
        <v>9.5749999999999993</v>
      </c>
      <c r="X17" s="27" cm="1">
        <f t="array" ref="X17">ImpVol2($B$1,$C17,$B$3,$B$4,U17,$B$2,TRUE)</f>
        <v>0.14023050526992933</v>
      </c>
      <c r="Y17" s="27" cm="1">
        <f t="array" ref="Y17">ImpVol2($B$1,$C17,$B$3,$B$4,W17,$B$2,FALSE)</f>
        <v>0.13997312317214808</v>
      </c>
      <c r="Z17" s="38" cm="1">
        <f t="array" ref="Z17">EXP(-$B$4*$B$2) * _xlfn.NORM.S.DIST(d_one2($B$1,$C17,$B$3,$B$4,X17,$B$2),TRUE)</f>
        <v>0.5245646667687941</v>
      </c>
      <c r="AA17" s="43">
        <f t="shared" si="3"/>
        <v>1.2673101870258829E-2</v>
      </c>
    </row>
    <row r="18" spans="1:27" x14ac:dyDescent="0.25">
      <c r="A18" s="17">
        <v>9.6300000000000008</v>
      </c>
      <c r="B18" s="17">
        <v>9.68</v>
      </c>
      <c r="C18" s="17">
        <v>477</v>
      </c>
      <c r="D18" s="17">
        <v>9.91</v>
      </c>
      <c r="E18" s="17">
        <v>9.9600000000000009</v>
      </c>
      <c r="G18" s="27" cm="1">
        <f t="array" ref="G18">ImpVol2($B$1,$C18,$B$3,$B$4,$A18,$B$2,TRUE)</f>
        <v>0.13780968959726503</v>
      </c>
      <c r="H18" s="27" cm="1">
        <f t="array" ref="H18">ImpVol2($B$1,$C18,$B$3,$B$4,B18,$B$2,TRUE)</f>
        <v>0.13851452737589123</v>
      </c>
      <c r="I18" s="17">
        <f t="shared" si="1"/>
        <v>477</v>
      </c>
      <c r="J18" s="27" cm="1">
        <f t="array" ref="J18">ImpVol2($B$1,$C18,$B$3,$B$4,D18,$B$2,FALSE)</f>
        <v>0.13753872501304676</v>
      </c>
      <c r="K18" s="27" cm="1">
        <f t="array" ref="K18">ImpVol2($B$1,$C18,$B$3,$B$4,E18,$B$2,FALSE)</f>
        <v>0.1382435620748621</v>
      </c>
      <c r="L18" s="16"/>
      <c r="M18" s="17" cm="1">
        <f t="array" ref="M18">BS_more($B$1,$C18,$B$3,$B$4,G18,$B$2,TRUE)</f>
        <v>9.6300000000000168</v>
      </c>
      <c r="N18" s="17" cm="1">
        <f t="array" ref="N18">BS_more($B$1,$C18,$B$3,$B$4,H18,$B$2,TRUE)</f>
        <v>9.6800000000000246</v>
      </c>
      <c r="O18" s="17">
        <f t="shared" si="2"/>
        <v>477</v>
      </c>
      <c r="P18" s="17" cm="1">
        <f t="array" ref="P18">BS_more($B$1,$C18,$B$3,$B$4,J18,$B$2,FALSE)</f>
        <v>9.9100000000000836</v>
      </c>
      <c r="Q18" s="17" cm="1">
        <f t="array" ref="Q18">BS_more($B$1,$C18,$B$3,$B$4,K18,$B$2,FALSE)</f>
        <v>9.9600000000000435</v>
      </c>
      <c r="S18" s="38">
        <v>0.502</v>
      </c>
      <c r="U18">
        <v>9.6550000000000011</v>
      </c>
      <c r="V18" s="18">
        <f t="shared" si="0"/>
        <v>477</v>
      </c>
      <c r="W18">
        <v>9.9350000000000005</v>
      </c>
      <c r="X18" s="27" cm="1">
        <f t="array" ref="X18">ImpVol2($B$1,$C18,$B$3,$B$4,U18,$B$2,TRUE)</f>
        <v>0.13816210825302155</v>
      </c>
      <c r="Y18" s="27" cm="1">
        <f t="array" ref="Y18">ImpVol2($B$1,$C18,$B$3,$B$4,W18,$B$2,FALSE)</f>
        <v>0.13789114331136759</v>
      </c>
      <c r="Z18" s="38" cm="1">
        <f t="array" ref="Z18">EXP(-$B$4*$B$2) * _xlfn.NORM.S.DIST(d_one2($B$1,$C18,$B$3,$B$4,X18,$B$2),TRUE)</f>
        <v>0.50823866933680728</v>
      </c>
      <c r="AA18" s="43">
        <f t="shared" si="3"/>
        <v>1.2427628160970761E-2</v>
      </c>
    </row>
    <row r="19" spans="1:27" x14ac:dyDescent="0.25">
      <c r="A19" s="17">
        <v>9</v>
      </c>
      <c r="B19" s="17">
        <v>9.0500000000000007</v>
      </c>
      <c r="C19" s="17">
        <v>478</v>
      </c>
      <c r="D19" s="17">
        <v>10.28</v>
      </c>
      <c r="E19" s="17">
        <v>10.33</v>
      </c>
      <c r="G19" s="27" cm="1">
        <f t="array" ref="G19">ImpVol2($B$1,$C19,$B$3,$B$4,$A19,$B$2,TRUE)</f>
        <v>0.13565605715931262</v>
      </c>
      <c r="H19" s="27" cm="1">
        <f t="array" ref="H19">ImpVol2($B$1,$C19,$B$3,$B$4,B19,$B$2,TRUE)</f>
        <v>0.13636111240405763</v>
      </c>
      <c r="I19" s="17">
        <f t="shared" si="1"/>
        <v>478</v>
      </c>
      <c r="J19" s="27" cm="1">
        <f t="array" ref="J19">ImpVol2($B$1,$C19,$B$3,$B$4,D19,$B$2,FALSE)</f>
        <v>0.13537106406502228</v>
      </c>
      <c r="K19" s="27" cm="1">
        <f t="array" ref="K19">ImpVol2($B$1,$C19,$B$3,$B$4,E19,$B$2,FALSE)</f>
        <v>0.13607612263938665</v>
      </c>
      <c r="L19" s="16"/>
      <c r="M19" s="17" cm="1">
        <f t="array" ref="M19">BS_more($B$1,$C19,$B$3,$B$4,G19,$B$2,TRUE)</f>
        <v>9.0000000000000924</v>
      </c>
      <c r="N19" s="17" cm="1">
        <f t="array" ref="N19">BS_more($B$1,$C19,$B$3,$B$4,H19,$B$2,TRUE)</f>
        <v>9.0500000000001037</v>
      </c>
      <c r="O19" s="17">
        <f t="shared" si="2"/>
        <v>478</v>
      </c>
      <c r="P19" s="17" cm="1">
        <f t="array" ref="P19">BS_more($B$1,$C19,$B$3,$B$4,J19,$B$2,FALSE)</f>
        <v>10.279999999999912</v>
      </c>
      <c r="Q19" s="17" cm="1">
        <f t="array" ref="Q19">BS_more($B$1,$C19,$B$3,$B$4,K19,$B$2,FALSE)</f>
        <v>10.33000000000006</v>
      </c>
      <c r="S19" s="38">
        <v>0.48499999999999999</v>
      </c>
      <c r="U19">
        <v>9.0250000000000004</v>
      </c>
      <c r="V19" s="18">
        <f t="shared" si="0"/>
        <v>478</v>
      </c>
      <c r="W19">
        <v>10.305</v>
      </c>
      <c r="X19" s="27" cm="1">
        <f t="array" ref="X19">ImpVol2($B$1,$C19,$B$3,$B$4,U19,$B$2,TRUE)</f>
        <v>0.13600858580687797</v>
      </c>
      <c r="Y19" s="27" cm="1">
        <f t="array" ref="Y19">ImpVol2($B$1,$C19,$B$3,$B$4,W19,$B$2,FALSE)</f>
        <v>0.13572359438633999</v>
      </c>
      <c r="Z19" s="38" cm="1">
        <f t="array" ref="Z19">EXP(-$B$4*$B$2) * _xlfn.NORM.S.DIST(d_one2($B$1,$C19,$B$3,$B$4,X19,$B$2),TRUE)</f>
        <v>0.49142688555637176</v>
      </c>
      <c r="AA19" s="43">
        <f t="shared" si="3"/>
        <v>1.3251310425508755E-2</v>
      </c>
    </row>
    <row r="20" spans="1:27" x14ac:dyDescent="0.25">
      <c r="A20" s="17">
        <v>8.39</v>
      </c>
      <c r="B20" s="17">
        <v>8.44</v>
      </c>
      <c r="C20" s="17">
        <v>479</v>
      </c>
      <c r="D20" s="17">
        <v>10.67</v>
      </c>
      <c r="E20" s="17">
        <v>10.72</v>
      </c>
      <c r="G20" s="27" cm="1">
        <f t="array" ref="G20">ImpVol2($B$1,$C20,$B$3,$B$4,$A20,$B$2,TRUE)</f>
        <v>0.13354685958860768</v>
      </c>
      <c r="H20" s="27" cm="1">
        <f t="array" ref="H20">ImpVol2($B$1,$C20,$B$3,$B$4,B20,$B$2,TRUE)</f>
        <v>0.13425343558631764</v>
      </c>
      <c r="I20" s="17">
        <f t="shared" si="1"/>
        <v>479</v>
      </c>
      <c r="J20" s="27" cm="1">
        <f t="array" ref="J20">ImpVol2($B$1,$C20,$B$3,$B$4,D20,$B$2,FALSE)</f>
        <v>0.13324727216837925</v>
      </c>
      <c r="K20" s="27" cm="1">
        <f t="array" ref="K20">ImpVol2($B$1,$C20,$B$3,$B$4,E20,$B$2,FALSE)</f>
        <v>0.13395386193868189</v>
      </c>
      <c r="L20" s="16"/>
      <c r="M20" s="17" cm="1">
        <f t="array" ref="M20">BS_more($B$1,$C20,$B$3,$B$4,G20,$B$2,TRUE)</f>
        <v>8.3900000000000841</v>
      </c>
      <c r="N20" s="17" cm="1">
        <f t="array" ref="N20">BS_more($B$1,$C20,$B$3,$B$4,H20,$B$2,TRUE)</f>
        <v>8.44</v>
      </c>
      <c r="O20" s="17">
        <f t="shared" si="2"/>
        <v>479</v>
      </c>
      <c r="P20" s="17" cm="1">
        <f t="array" ref="P20">BS_more($B$1,$C20,$B$3,$B$4,J20,$B$2,FALSE)</f>
        <v>10.670000000000035</v>
      </c>
      <c r="Q20" s="17" cm="1">
        <f t="array" ref="Q20">BS_more($B$1,$C20,$B$3,$B$4,K20,$B$2,FALSE)</f>
        <v>10.719999999999956</v>
      </c>
      <c r="S20" s="38">
        <v>0.46700000000000003</v>
      </c>
      <c r="U20">
        <v>8.4149999999999991</v>
      </c>
      <c r="V20" s="18">
        <f t="shared" si="0"/>
        <v>479</v>
      </c>
      <c r="W20">
        <v>10.695</v>
      </c>
      <c r="X20" s="27" cm="1">
        <f t="array" ref="X20">ImpVol2($B$1,$C20,$B$3,$B$4,U20,$B$2,TRUE)</f>
        <v>0.13390015163289901</v>
      </c>
      <c r="Y20" s="27" cm="1">
        <f t="array" ref="Y20">ImpVol2($B$1,$C20,$B$3,$B$4,W20,$B$2,FALSE)</f>
        <v>0.13360057112899498</v>
      </c>
      <c r="Z20" s="38" cm="1">
        <f t="array" ref="Z20">EXP(-$B$4*$B$2) * _xlfn.NORM.S.DIST(d_one2($B$1,$C20,$B$3,$B$4,X20,$B$2),TRUE)</f>
        <v>0.47415203947637102</v>
      </c>
      <c r="AA20" s="43">
        <f t="shared" si="3"/>
        <v>1.5314859692443283E-2</v>
      </c>
    </row>
    <row r="21" spans="1:27" x14ac:dyDescent="0.25">
      <c r="A21" s="17">
        <v>7.8</v>
      </c>
      <c r="B21" s="17">
        <v>7.85</v>
      </c>
      <c r="C21" s="17">
        <v>480</v>
      </c>
      <c r="D21" s="17">
        <v>11.08</v>
      </c>
      <c r="E21" s="17">
        <v>11.13</v>
      </c>
      <c r="G21" s="27" cm="1">
        <f t="array" ref="G21">ImpVol2($B$1,$C21,$B$3,$B$4,$A21,$B$2,TRUE)</f>
        <v>0.13147227453572222</v>
      </c>
      <c r="H21" s="27" cm="1">
        <f t="array" ref="H21">ImpVol2($B$1,$C21,$B$3,$B$4,B21,$B$2,TRUE)</f>
        <v>0.13218179317934572</v>
      </c>
      <c r="I21" s="17">
        <f t="shared" si="1"/>
        <v>480</v>
      </c>
      <c r="J21" s="27" cm="1">
        <f t="array" ref="J21">ImpVol2($B$1,$C21,$B$3,$B$4,D21,$B$2,FALSE)</f>
        <v>0.13115739546429744</v>
      </c>
      <c r="K21" s="27" cm="1">
        <f t="array" ref="K21">ImpVol2($B$1,$C21,$B$3,$B$4,E21,$B$2,FALSE)</f>
        <v>0.13186694661725207</v>
      </c>
      <c r="L21" s="16"/>
      <c r="M21" s="17" cm="1">
        <f t="array" ref="M21">BS_more($B$1,$C21,$B$3,$B$4,G21,$B$2,TRUE)</f>
        <v>7.8000000000002778</v>
      </c>
      <c r="N21" s="17" cm="1">
        <f t="array" ref="N21">BS_more($B$1,$C21,$B$3,$B$4,H21,$B$2,TRUE)</f>
        <v>7.8500000000003247</v>
      </c>
      <c r="O21" s="17">
        <f t="shared" si="2"/>
        <v>480</v>
      </c>
      <c r="P21" s="17" cm="1">
        <f t="array" ref="P21">BS_more($B$1,$C21,$B$3,$B$4,J21,$B$2,FALSE)</f>
        <v>11.080000000000297</v>
      </c>
      <c r="Q21" s="17" cm="1">
        <f t="array" ref="Q21">BS_more($B$1,$C21,$B$3,$B$4,K21,$B$2,FALSE)</f>
        <v>11.130000000000337</v>
      </c>
      <c r="S21" s="38">
        <v>0.45</v>
      </c>
      <c r="U21">
        <v>7.8249999999999993</v>
      </c>
      <c r="V21" s="18">
        <f t="shared" si="0"/>
        <v>480</v>
      </c>
      <c r="W21">
        <v>11.105</v>
      </c>
      <c r="X21" s="27" cm="1">
        <f t="array" ref="X21">ImpVol2($B$1,$C21,$B$3,$B$4,U21,$B$2,TRUE)</f>
        <v>0.13182704298025011</v>
      </c>
      <c r="Y21" s="27" cm="1">
        <f t="array" ref="Y21">ImpVol2($B$1,$C21,$B$3,$B$4,W21,$B$2,FALSE)</f>
        <v>0.13151218023275521</v>
      </c>
      <c r="Z21" s="38" cm="1">
        <f t="array" ref="Z21">EXP(-$B$4*$B$2) * _xlfn.NORM.S.DIST(d_one2($B$1,$C21,$B$3,$B$4,X21,$B$2),TRUE)</f>
        <v>0.45643851566506771</v>
      </c>
      <c r="AA21" s="43">
        <f t="shared" si="3"/>
        <v>1.4307812589039237E-2</v>
      </c>
    </row>
    <row r="22" spans="1:27" x14ac:dyDescent="0.25">
      <c r="A22" s="17">
        <v>7.24</v>
      </c>
      <c r="B22" s="17">
        <v>7.28</v>
      </c>
      <c r="C22" s="17">
        <v>481</v>
      </c>
      <c r="D22" s="17">
        <v>11.41</v>
      </c>
      <c r="E22" s="17">
        <v>11.78</v>
      </c>
      <c r="G22" s="27" cm="1">
        <f t="array" ref="G22">ImpVol2($B$1,$C22,$B$3,$B$4,$A22,$B$2,TRUE)</f>
        <v>0.12956553205969754</v>
      </c>
      <c r="H22" s="27" cm="1">
        <f t="array" ref="H22">ImpVol2($B$1,$C22,$B$3,$B$4,B22,$B$2,TRUE)</f>
        <v>0.1301367391597269</v>
      </c>
      <c r="I22" s="17">
        <f t="shared" si="1"/>
        <v>481</v>
      </c>
      <c r="J22" s="27" cm="1">
        <f t="array" ref="J22">ImpVol2($B$1,$C22,$B$3,$B$4,D22,$B$2,FALSE)</f>
        <v>0.1276631214563077</v>
      </c>
      <c r="K22" s="27" cm="1">
        <f t="array" ref="K22">ImpVol2($B$1,$C22,$B$3,$B$4,E22,$B$2,FALSE)</f>
        <v>0.13294620250411365</v>
      </c>
      <c r="L22" s="16"/>
      <c r="M22" s="17" cm="1">
        <f t="array" ref="M22">BS_more($B$1,$C22,$B$3,$B$4,G22,$B$2,TRUE)</f>
        <v>7.2400000000021221</v>
      </c>
      <c r="N22" s="17" cm="1">
        <f t="array" ref="N22">BS_more($B$1,$C22,$B$3,$B$4,H22,$B$2,TRUE)</f>
        <v>7.2800000000022127</v>
      </c>
      <c r="O22" s="17">
        <f t="shared" si="2"/>
        <v>481</v>
      </c>
      <c r="P22" s="17" cm="1">
        <f t="array" ref="P22">BS_more($B$1,$C22,$B$3,$B$4,J22,$B$2,FALSE)</f>
        <v>11.410000000001807</v>
      </c>
      <c r="Q22" s="17" cm="1">
        <f t="array" ref="Q22">BS_more($B$1,$C22,$B$3,$B$4,K22,$B$2,FALSE)</f>
        <v>11.78000000000266</v>
      </c>
      <c r="S22" s="38">
        <v>0.432</v>
      </c>
      <c r="U22">
        <v>7.26</v>
      </c>
      <c r="V22" s="18">
        <f t="shared" si="0"/>
        <v>481</v>
      </c>
      <c r="W22">
        <v>11.594999999999999</v>
      </c>
      <c r="X22" s="27" cm="1">
        <f t="array" ref="X22">ImpVol2($B$1,$C22,$B$3,$B$4,U22,$B$2,TRUE)</f>
        <v>0.1298511462383653</v>
      </c>
      <c r="Y22" s="27" cm="1">
        <f t="array" ref="Y22">ImpVol2($B$1,$C22,$B$3,$B$4,W22,$B$2,FALSE)</f>
        <v>0.13030556187877657</v>
      </c>
      <c r="Z22" s="38" cm="1">
        <f t="array" ref="Z22">EXP(-$B$4*$B$2) * _xlfn.NORM.S.DIST(d_one2($B$1,$C22,$B$3,$B$4,X22,$B$2),TRUE)</f>
        <v>0.43835711761941604</v>
      </c>
      <c r="AA22" s="43">
        <f t="shared" si="3"/>
        <v>1.4715550044944514E-2</v>
      </c>
    </row>
    <row r="23" spans="1:27" x14ac:dyDescent="0.25">
      <c r="A23" s="17">
        <v>6.69</v>
      </c>
      <c r="B23" s="17">
        <v>6.74</v>
      </c>
      <c r="C23" s="17">
        <v>482</v>
      </c>
      <c r="D23" s="17">
        <v>11.86</v>
      </c>
      <c r="E23" s="17">
        <v>12.26</v>
      </c>
      <c r="G23" s="27" cm="1">
        <f t="array" ref="G23">ImpVol2($B$1,$C23,$B$3,$B$4,$A23,$B$2,TRUE)</f>
        <v>0.12753275208612211</v>
      </c>
      <c r="H23" s="27" cm="1">
        <f t="array" ref="H23">ImpVol2($B$1,$C23,$B$3,$B$4,B23,$B$2,TRUE)</f>
        <v>0.1282529583195256</v>
      </c>
      <c r="I23" s="17">
        <f t="shared" si="1"/>
        <v>482</v>
      </c>
      <c r="J23" s="27" cm="1">
        <f t="array" ref="J23">ImpVol2($B$1,$C23,$B$3,$B$4,D23,$B$2,FALSE)</f>
        <v>0.12559912945092308</v>
      </c>
      <c r="K23" s="27" cm="1">
        <f t="array" ref="K23">ImpVol2($B$1,$C23,$B$3,$B$4,E23,$B$2,FALSE)</f>
        <v>0.13135945785883421</v>
      </c>
      <c r="L23" s="16"/>
      <c r="M23" s="17" cm="1">
        <f t="array" ref="M23">BS_more($B$1,$C23,$B$3,$B$4,G23,$B$2,TRUE)</f>
        <v>6.6899999999999764</v>
      </c>
      <c r="N23" s="17" cm="1">
        <f t="array" ref="N23">BS_more($B$1,$C23,$B$3,$B$4,H23,$B$2,TRUE)</f>
        <v>6.740000000000089</v>
      </c>
      <c r="O23" s="17">
        <f t="shared" si="2"/>
        <v>482</v>
      </c>
      <c r="P23" s="17" cm="1">
        <f t="array" ref="P23">BS_more($B$1,$C23,$B$3,$B$4,J23,$B$2,FALSE)</f>
        <v>11.860000000006115</v>
      </c>
      <c r="Q23" s="17" cm="1">
        <f t="array" ref="Q23">BS_more($B$1,$C23,$B$3,$B$4,K23,$B$2,FALSE)</f>
        <v>12.259999999999943</v>
      </c>
      <c r="S23" s="38">
        <v>0.41299999999999998</v>
      </c>
      <c r="U23">
        <v>6.7149999999999999</v>
      </c>
      <c r="V23" s="18">
        <f t="shared" si="0"/>
        <v>482</v>
      </c>
      <c r="W23">
        <v>12.059999999999999</v>
      </c>
      <c r="X23" s="27" cm="1">
        <f t="array" ref="X23">ImpVol2($B$1,$C23,$B$3,$B$4,U23,$B$2,TRUE)</f>
        <v>0.12789288218820805</v>
      </c>
      <c r="Y23" s="27" cm="1">
        <f t="array" ref="Y23">ImpVol2($B$1,$C23,$B$3,$B$4,W23,$B$2,FALSE)</f>
        <v>0.1284809968832103</v>
      </c>
      <c r="Z23" s="38" cm="1">
        <f t="array" ref="Z23">EXP(-$B$4*$B$2) * _xlfn.NORM.S.DIST(d_one2($B$1,$C23,$B$3,$B$4,X23,$B$2),TRUE)</f>
        <v>0.4199096796368369</v>
      </c>
      <c r="AA23" s="43">
        <f t="shared" si="3"/>
        <v>1.6730459169096656E-2</v>
      </c>
    </row>
    <row r="24" spans="1:27" x14ac:dyDescent="0.25">
      <c r="A24" s="17">
        <v>6.17</v>
      </c>
      <c r="B24" s="17">
        <v>6.22</v>
      </c>
      <c r="C24" s="17">
        <v>483</v>
      </c>
      <c r="D24" s="17">
        <v>12.34</v>
      </c>
      <c r="E24" s="17">
        <v>12.73</v>
      </c>
      <c r="G24" s="27" cm="1">
        <f t="array" ref="G24">ImpVol2($B$1,$C24,$B$3,$B$4,$A24,$B$2,TRUE)</f>
        <v>0.12565205055745654</v>
      </c>
      <c r="H24" s="27" cm="1">
        <f t="array" ref="H24">ImpVol2($B$1,$C24,$B$3,$B$4,B24,$B$2,TRUE)</f>
        <v>0.12638031347532</v>
      </c>
      <c r="I24" s="17">
        <f t="shared" si="1"/>
        <v>483</v>
      </c>
      <c r="J24" s="27" cm="1">
        <f t="array" ref="J24">ImpVol2($B$1,$C24,$B$3,$B$4,D24,$B$2,FALSE)</f>
        <v>0.12368182880705034</v>
      </c>
      <c r="K24" s="27" cm="1">
        <f t="array" ref="K24">ImpVol2($B$1,$C24,$B$3,$B$4,E24,$B$2,FALSE)</f>
        <v>0.12936063087720104</v>
      </c>
      <c r="L24" s="16"/>
      <c r="M24" s="17" cm="1">
        <f t="array" ref="M24">BS_more($B$1,$C24,$B$3,$B$4,G24,$B$2,TRUE)</f>
        <v>6.1700000000000923</v>
      </c>
      <c r="N24" s="17" cm="1">
        <f t="array" ref="N24">BS_more($B$1,$C24,$B$3,$B$4,H24,$B$2,TRUE)</f>
        <v>6.220000000000006</v>
      </c>
      <c r="O24" s="17">
        <f t="shared" si="2"/>
        <v>483</v>
      </c>
      <c r="P24" s="17" cm="1">
        <f t="array" ref="P24">BS_more($B$1,$C24,$B$3,$B$4,J24,$B$2,FALSE)</f>
        <v>12.339999999999931</v>
      </c>
      <c r="Q24" s="17" cm="1">
        <f t="array" ref="Q24">BS_more($B$1,$C24,$B$3,$B$4,K24,$B$2,FALSE)</f>
        <v>12.73</v>
      </c>
      <c r="S24" s="38">
        <v>0.39500000000000002</v>
      </c>
      <c r="U24">
        <v>6.1950000000000003</v>
      </c>
      <c r="V24" s="18">
        <f t="shared" si="0"/>
        <v>483</v>
      </c>
      <c r="W24">
        <v>12.535</v>
      </c>
      <c r="X24" s="27" cm="1">
        <f t="array" ref="X24">ImpVol2($B$1,$C24,$B$3,$B$4,U24,$B$2,TRUE)</f>
        <v>0.12601622282914607</v>
      </c>
      <c r="Y24" s="27" cm="1">
        <f t="array" ref="Y24">ImpVol2($B$1,$C24,$B$3,$B$4,W24,$B$2,FALSE)</f>
        <v>0.12652368272434439</v>
      </c>
      <c r="Z24" s="38" cm="1">
        <f t="array" ref="Z24">EXP(-$B$4*$B$2) * _xlfn.NORM.S.DIST(d_one2($B$1,$C24,$B$3,$B$4,X24,$B$2),TRUE)</f>
        <v>0.40119227435759131</v>
      </c>
      <c r="AA24" s="43">
        <f t="shared" si="3"/>
        <v>1.5676643943269175E-2</v>
      </c>
    </row>
    <row r="25" spans="1:27" x14ac:dyDescent="0.25">
      <c r="A25" s="17">
        <v>5.68</v>
      </c>
      <c r="B25" s="17">
        <v>5.72</v>
      </c>
      <c r="C25" s="17">
        <v>484</v>
      </c>
      <c r="D25" s="17">
        <v>12.77</v>
      </c>
      <c r="E25" s="17">
        <v>13.18</v>
      </c>
      <c r="G25" s="27" cm="1">
        <f t="array" ref="G25">ImpVol2($B$1,$C25,$B$3,$B$4,$A25,$B$2,TRUE)</f>
        <v>0.12391993719455012</v>
      </c>
      <c r="H25" s="27" cm="1">
        <f t="array" ref="H25">ImpVol2($B$1,$C25,$B$3,$B$4,B25,$B$2,TRUE)</f>
        <v>0.12451062300692779</v>
      </c>
      <c r="I25" s="17">
        <f t="shared" si="1"/>
        <v>484</v>
      </c>
      <c r="J25" s="27" cm="1">
        <f t="array" ref="J25">ImpVol2($B$1,$C25,$B$3,$B$4,D25,$B$2,FALSE)</f>
        <v>0.12072275168810381</v>
      </c>
      <c r="K25" s="27" cm="1">
        <f t="array" ref="K25">ImpVol2($B$1,$C25,$B$3,$B$4,E25,$B$2,FALSE)</f>
        <v>0.12677990823392693</v>
      </c>
      <c r="L25" s="16"/>
      <c r="M25" s="17" cm="1">
        <f t="array" ref="M25">BS_more($B$1,$C25,$B$3,$B$4,G25,$B$2,TRUE)</f>
        <v>5.6799999999999899</v>
      </c>
      <c r="N25" s="17" cm="1">
        <f t="array" ref="N25">BS_more($B$1,$C25,$B$3,$B$4,H25,$B$2,TRUE)</f>
        <v>5.7200000000000957</v>
      </c>
      <c r="O25" s="17">
        <f t="shared" si="2"/>
        <v>484</v>
      </c>
      <c r="P25" s="17" cm="1">
        <f t="array" ref="P25">BS_more($B$1,$C25,$B$3,$B$4,J25,$B$2,FALSE)</f>
        <v>12.769999999999991</v>
      </c>
      <c r="Q25" s="17" cm="1">
        <f t="array" ref="Q25">BS_more($B$1,$C25,$B$3,$B$4,K25,$B$2,FALSE)</f>
        <v>13.180000000000041</v>
      </c>
      <c r="S25" s="38">
        <v>0.376</v>
      </c>
      <c r="U25">
        <v>5.6999999999999993</v>
      </c>
      <c r="V25" s="18">
        <f t="shared" si="0"/>
        <v>484</v>
      </c>
      <c r="W25">
        <v>12.975</v>
      </c>
      <c r="X25" s="27" cm="1">
        <f t="array" ref="X25">ImpVol2($B$1,$C25,$B$3,$B$4,U25,$B$2,TRUE)</f>
        <v>0.12421531774122295</v>
      </c>
      <c r="Y25" s="27" cm="1">
        <f t="array" ref="Y25">ImpVol2($B$1,$C25,$B$3,$B$4,W25,$B$2,FALSE)</f>
        <v>0.12375533516286967</v>
      </c>
      <c r="Z25" s="38" cm="1">
        <f t="array" ref="Z25">EXP(-$B$4*$B$2) * _xlfn.NORM.S.DIST(d_one2($B$1,$C25,$B$3,$B$4,X25,$B$2),TRUE)</f>
        <v>0.38226972844329893</v>
      </c>
      <c r="AA25" s="43">
        <f t="shared" si="3"/>
        <v>1.6674809689624759E-2</v>
      </c>
    </row>
    <row r="29" spans="1:27" x14ac:dyDescent="0.25">
      <c r="E29" t="s">
        <v>72</v>
      </c>
    </row>
    <row r="30" spans="1:27" x14ac:dyDescent="0.25">
      <c r="E30" t="s">
        <v>73</v>
      </c>
    </row>
    <row r="31" spans="1:27" x14ac:dyDescent="0.25">
      <c r="E31" t="s">
        <v>79</v>
      </c>
    </row>
    <row r="33" spans="5:5" x14ac:dyDescent="0.25">
      <c r="E33" t="s">
        <v>80</v>
      </c>
    </row>
  </sheetData>
  <mergeCells count="4">
    <mergeCell ref="W2:AA3"/>
    <mergeCell ref="C3:D4"/>
    <mergeCell ref="H3:I4"/>
    <mergeCell ref="N3:O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AA278-AF3B-48C2-9137-87FED8572E6C}">
  <sheetPr codeName="Sheet5"/>
  <dimension ref="C5:M23"/>
  <sheetViews>
    <sheetView workbookViewId="0">
      <selection activeCell="E34" sqref="E34"/>
    </sheetView>
  </sheetViews>
  <sheetFormatPr defaultRowHeight="15" x14ac:dyDescent="0.25"/>
  <sheetData>
    <row r="5" spans="3:13" x14ac:dyDescent="0.25">
      <c r="C5" t="s">
        <v>5</v>
      </c>
      <c r="D5" t="s">
        <v>0</v>
      </c>
      <c r="E5" t="s">
        <v>6</v>
      </c>
      <c r="F5" t="s">
        <v>7</v>
      </c>
      <c r="G5" t="s">
        <v>83</v>
      </c>
      <c r="H5" t="s">
        <v>8</v>
      </c>
      <c r="I5" t="s">
        <v>5</v>
      </c>
      <c r="J5" t="s">
        <v>16</v>
      </c>
      <c r="K5" t="s">
        <v>3</v>
      </c>
      <c r="L5" t="s">
        <v>87</v>
      </c>
      <c r="M5" t="s">
        <v>4</v>
      </c>
    </row>
    <row r="6" spans="3:13" x14ac:dyDescent="0.25">
      <c r="C6">
        <v>442</v>
      </c>
      <c r="D6">
        <v>474</v>
      </c>
      <c r="E6">
        <v>-7.1152800555722654E-3</v>
      </c>
      <c r="F6">
        <v>-4.0133384798922034E-2</v>
      </c>
      <c r="G6">
        <v>0.14457250208555811</v>
      </c>
      <c r="H6">
        <v>0.1388888888888889</v>
      </c>
      <c r="I6">
        <v>466</v>
      </c>
      <c r="J6">
        <f>MAX(C6-D6,0)</f>
        <v>0</v>
      </c>
      <c r="K6" cm="1">
        <f t="array" ref="K6">BS_more(C6,D6,E6,F6,G6,H6,TRUE)</f>
        <v>1.3534301175255745</v>
      </c>
      <c r="L6">
        <f>MAX(D6-C6,0)</f>
        <v>32</v>
      </c>
      <c r="M6" cm="1">
        <f t="array" ref="M6">BS_more(C6,D6,E6,F6,G6,H6,FALSE)</f>
        <v>31.351461022360738</v>
      </c>
    </row>
    <row r="7" spans="3:13" x14ac:dyDescent="0.25">
      <c r="C7">
        <v>446</v>
      </c>
      <c r="D7">
        <v>474</v>
      </c>
      <c r="E7">
        <v>-7.1152800555722654E-3</v>
      </c>
      <c r="F7">
        <v>-4.0133384798922034E-2</v>
      </c>
      <c r="G7">
        <v>0.14457250208555811</v>
      </c>
      <c r="H7">
        <v>0.1388888888888889</v>
      </c>
      <c r="I7">
        <v>467</v>
      </c>
      <c r="J7">
        <f t="shared" ref="J7:J23" si="0">MAX(C7-D7,0)</f>
        <v>0</v>
      </c>
      <c r="K7" cm="1">
        <f t="array" ref="K7">BS_more(C7,D7,E7,F7,G7,H7,TRUE)</f>
        <v>1.8989130986866438</v>
      </c>
      <c r="L7">
        <f t="shared" ref="L7:L23" si="1">MAX(D7-C7,0)</f>
        <v>28</v>
      </c>
      <c r="M7" cm="1">
        <f t="array" ref="M7">BS_more(C7,D7,E7,F7,G7,H7,FALSE)</f>
        <v>27.874585422250284</v>
      </c>
    </row>
    <row r="8" spans="3:13" x14ac:dyDescent="0.25">
      <c r="C8">
        <v>450</v>
      </c>
      <c r="D8">
        <v>474</v>
      </c>
      <c r="E8">
        <v>-7.1152800555722654E-3</v>
      </c>
      <c r="F8">
        <v>-4.0133384798922034E-2</v>
      </c>
      <c r="G8">
        <v>0.14457250208555811</v>
      </c>
      <c r="H8">
        <v>0.1388888888888889</v>
      </c>
      <c r="I8">
        <v>468</v>
      </c>
      <c r="J8">
        <f t="shared" si="0"/>
        <v>0</v>
      </c>
      <c r="K8" cm="1">
        <f t="array" ref="K8">BS_more(C8,D8,E8,F8,G8,H8,TRUE)</f>
        <v>2.6034474201795512</v>
      </c>
      <c r="L8">
        <f t="shared" si="1"/>
        <v>24</v>
      </c>
      <c r="M8" cm="1">
        <f t="array" ref="M8">BS_more(C8,D8,E8,F8,G8,H8,FALSE)</f>
        <v>24.556761162471666</v>
      </c>
    </row>
    <row r="9" spans="3:13" x14ac:dyDescent="0.25">
      <c r="C9">
        <v>454</v>
      </c>
      <c r="D9">
        <v>474</v>
      </c>
      <c r="E9">
        <v>-7.1152800555722654E-3</v>
      </c>
      <c r="F9">
        <v>-4.0133384798922034E-2</v>
      </c>
      <c r="G9">
        <v>0.14457250208555811</v>
      </c>
      <c r="H9">
        <v>0.1388888888888889</v>
      </c>
      <c r="I9">
        <v>469</v>
      </c>
      <c r="J9">
        <f t="shared" si="0"/>
        <v>0</v>
      </c>
      <c r="K9" cm="1">
        <f t="array" ref="K9">BS_more(C9,D9,E9,F9,G9,H9,TRUE)</f>
        <v>3.4919275536624768</v>
      </c>
      <c r="L9">
        <f t="shared" si="1"/>
        <v>20</v>
      </c>
      <c r="M9" cm="1">
        <f t="array" ref="M9">BS_more(C9,D9,E9,F9,G9,H9,FALSE)</f>
        <v>21.422882714683066</v>
      </c>
    </row>
    <row r="10" spans="3:13" x14ac:dyDescent="0.25">
      <c r="C10">
        <v>458</v>
      </c>
      <c r="D10">
        <v>474</v>
      </c>
      <c r="E10">
        <v>-7.1152800555722654E-3</v>
      </c>
      <c r="F10">
        <v>-4.0133384798922034E-2</v>
      </c>
      <c r="G10">
        <v>0.14457250208555811</v>
      </c>
      <c r="H10">
        <v>0.1388888888888889</v>
      </c>
      <c r="I10">
        <v>470</v>
      </c>
      <c r="J10">
        <f t="shared" si="0"/>
        <v>0</v>
      </c>
      <c r="K10" cm="1">
        <f t="array" ref="K10">BS_more(C10,D10,E10,F10,G10,H10,TRUE)</f>
        <v>4.5872119421507298</v>
      </c>
      <c r="L10">
        <f t="shared" si="1"/>
        <v>16</v>
      </c>
      <c r="M10" cm="1">
        <f t="array" ref="M10">BS_more(C10,D10,E10,F10,G10,H10,FALSE)</f>
        <v>18.495808521899793</v>
      </c>
    </row>
    <row r="11" spans="3:13" x14ac:dyDescent="0.25">
      <c r="C11">
        <v>462</v>
      </c>
      <c r="D11">
        <v>474</v>
      </c>
      <c r="E11">
        <v>-7.1152800555722654E-3</v>
      </c>
      <c r="F11">
        <v>-4.0133384798922034E-2</v>
      </c>
      <c r="G11">
        <v>0.14457250208555811</v>
      </c>
      <c r="H11">
        <v>0.1388888888888889</v>
      </c>
      <c r="I11">
        <v>471</v>
      </c>
      <c r="J11">
        <f t="shared" si="0"/>
        <v>0</v>
      </c>
      <c r="K11" cm="1">
        <f t="array" ref="K11">BS_more(C11,D11,E11,F11,G11,H11,TRUE)</f>
        <v>5.9086818671599177</v>
      </c>
      <c r="L11">
        <f t="shared" si="1"/>
        <v>12</v>
      </c>
      <c r="M11" cm="1">
        <f t="array" ref="M11">BS_more(C11,D11,E11,F11,G11,H11,FALSE)</f>
        <v>15.794919865637459</v>
      </c>
    </row>
    <row r="12" spans="3:13" x14ac:dyDescent="0.25">
      <c r="C12">
        <v>466</v>
      </c>
      <c r="D12">
        <v>474</v>
      </c>
      <c r="E12">
        <v>-7.1152800555722654E-3</v>
      </c>
      <c r="F12">
        <v>-4.0133384798922034E-2</v>
      </c>
      <c r="G12">
        <v>0.14457250208555811</v>
      </c>
      <c r="H12">
        <v>0.1388888888888889</v>
      </c>
      <c r="I12">
        <v>472</v>
      </c>
      <c r="J12">
        <f t="shared" si="0"/>
        <v>0</v>
      </c>
      <c r="K12" cm="1">
        <f t="array" ref="K12">BS_more(C12,D12,E12,F12,G12,H12,TRUE)</f>
        <v>7.4709993261432555</v>
      </c>
      <c r="L12">
        <f t="shared" si="1"/>
        <v>8</v>
      </c>
      <c r="M12" cm="1">
        <f t="array" ref="M12">BS_more(C12,D12,E12,F12,G12,H12,FALSE)</f>
        <v>13.334878743349272</v>
      </c>
    </row>
    <row r="13" spans="3:13" x14ac:dyDescent="0.25">
      <c r="C13">
        <v>470</v>
      </c>
      <c r="D13">
        <v>474</v>
      </c>
      <c r="E13">
        <v>-7.1152800555722654E-3</v>
      </c>
      <c r="F13">
        <v>-4.0133384798922034E-2</v>
      </c>
      <c r="G13">
        <v>0.14457250208555811</v>
      </c>
      <c r="H13">
        <v>0.1388888888888889</v>
      </c>
      <c r="I13">
        <v>473</v>
      </c>
      <c r="J13">
        <f t="shared" si="0"/>
        <v>0</v>
      </c>
      <c r="K13" cm="1">
        <f t="array" ref="K13">BS_more(C13,D13,E13,F13,G13,H13,TRUE)</f>
        <v>9.2832229281134691</v>
      </c>
      <c r="L13">
        <f t="shared" si="1"/>
        <v>4</v>
      </c>
      <c r="M13" cm="1">
        <f t="array" ref="M13">BS_more(C13,D13,E13,F13,G13,H13,FALSE)</f>
        <v>11.12474376404796</v>
      </c>
    </row>
    <row r="14" spans="3:13" x14ac:dyDescent="0.25">
      <c r="C14">
        <v>474</v>
      </c>
      <c r="D14">
        <v>474</v>
      </c>
      <c r="E14">
        <v>-7.1152800555722654E-3</v>
      </c>
      <c r="F14">
        <v>-4.0133384798922034E-2</v>
      </c>
      <c r="G14">
        <v>0.14457250208555811</v>
      </c>
      <c r="H14">
        <v>0.1388888888888889</v>
      </c>
      <c r="I14">
        <v>474</v>
      </c>
      <c r="J14">
        <f t="shared" si="0"/>
        <v>0</v>
      </c>
      <c r="K14" cm="1">
        <f t="array" ref="K14">BS_more(C14,D14,E14,F14,G14,H14,TRUE)</f>
        <v>11.34811892520967</v>
      </c>
      <c r="L14">
        <f t="shared" si="1"/>
        <v>0</v>
      </c>
      <c r="M14" cm="1">
        <f t="array" ref="M14">BS_more(C14,D14,E14,F14,G14,H14,FALSE)</f>
        <v>9.167281179872635</v>
      </c>
    </row>
    <row r="15" spans="3:13" x14ac:dyDescent="0.25">
      <c r="C15">
        <v>478</v>
      </c>
      <c r="D15">
        <v>474</v>
      </c>
      <c r="E15">
        <v>-7.1152800555722654E-3</v>
      </c>
      <c r="F15">
        <v>-4.0133384798922034E-2</v>
      </c>
      <c r="G15">
        <v>0.14457250208555811</v>
      </c>
      <c r="H15">
        <v>0.1388888888888889</v>
      </c>
      <c r="I15">
        <v>475</v>
      </c>
      <c r="J15">
        <f t="shared" si="0"/>
        <v>4</v>
      </c>
      <c r="K15" cm="1">
        <f t="array" ref="K15">BS_more(C15,D15,E15,F15,G15,H15,TRUE)</f>
        <v>13.662288616298436</v>
      </c>
      <c r="L15">
        <f t="shared" si="1"/>
        <v>0</v>
      </c>
      <c r="M15" cm="1">
        <f t="array" ref="M15">BS_more(C15,D15,E15,F15,G15,H15,FALSE)</f>
        <v>7.4590922896898784</v>
      </c>
    </row>
    <row r="16" spans="3:13" x14ac:dyDescent="0.25">
      <c r="C16">
        <v>482</v>
      </c>
      <c r="D16">
        <v>474</v>
      </c>
      <c r="E16">
        <v>-7.1152800555722654E-3</v>
      </c>
      <c r="F16">
        <v>-4.0133384798922034E-2</v>
      </c>
      <c r="G16">
        <v>0.14457250208555811</v>
      </c>
      <c r="H16">
        <v>0.1388888888888889</v>
      </c>
      <c r="I16">
        <v>476</v>
      </c>
      <c r="J16">
        <f t="shared" si="0"/>
        <v>8</v>
      </c>
      <c r="K16" cm="1">
        <f t="array" ref="K16">BS_more(C16,D16,E16,F16,G16,H16,TRUE)</f>
        <v>16.216499538847902</v>
      </c>
      <c r="L16">
        <f t="shared" si="1"/>
        <v>0</v>
      </c>
      <c r="M16" cm="1">
        <f t="array" ref="M16">BS_more(C16,D16,E16,F16,G16,H16,FALSE)</f>
        <v>5.9909446309678192</v>
      </c>
    </row>
    <row r="17" spans="3:13" x14ac:dyDescent="0.25">
      <c r="C17">
        <v>486</v>
      </c>
      <c r="D17">
        <v>474</v>
      </c>
      <c r="E17">
        <v>-7.1152800555722654E-3</v>
      </c>
      <c r="F17">
        <v>-4.0133384798922034E-2</v>
      </c>
      <c r="G17">
        <v>0.14457250208555811</v>
      </c>
      <c r="H17">
        <v>0.1388888888888889</v>
      </c>
      <c r="I17">
        <v>477</v>
      </c>
      <c r="J17">
        <f t="shared" si="0"/>
        <v>12</v>
      </c>
      <c r="K17" cm="1">
        <f t="array" ref="K17">BS_more(C17,D17,E17,F17,G17,H17,TRUE)</f>
        <v>18.996398160312268</v>
      </c>
      <c r="L17">
        <f t="shared" si="1"/>
        <v>0</v>
      </c>
      <c r="M17" cm="1">
        <f t="array" ref="M17">BS_more(C17,D17,E17,F17,G17,H17,FALSE)</f>
        <v>4.7484846711606599</v>
      </c>
    </row>
    <row r="18" spans="3:13" x14ac:dyDescent="0.25">
      <c r="C18">
        <v>490</v>
      </c>
      <c r="D18">
        <v>474</v>
      </c>
      <c r="E18">
        <v>-7.1152800555722654E-3</v>
      </c>
      <c r="F18">
        <v>-4.0133384798922034E-2</v>
      </c>
      <c r="G18">
        <v>0.14457250208555811</v>
      </c>
      <c r="H18">
        <v>0.1388888888888889</v>
      </c>
      <c r="I18">
        <v>478</v>
      </c>
      <c r="J18">
        <f t="shared" si="0"/>
        <v>16</v>
      </c>
      <c r="K18" cm="1">
        <f t="array" ref="K18">BS_more(C18,D18,E18,F18,G18,H18,TRUE)</f>
        <v>21.983703470630584</v>
      </c>
      <c r="L18">
        <f t="shared" si="1"/>
        <v>0</v>
      </c>
      <c r="M18" cm="1">
        <f t="array" ref="M18">BS_more(C18,D18,E18,F18,G18,H18,FALSE)</f>
        <v>3.7134314002074489</v>
      </c>
    </row>
    <row r="19" spans="3:13" x14ac:dyDescent="0.25">
      <c r="C19">
        <v>494</v>
      </c>
      <c r="D19">
        <v>474</v>
      </c>
      <c r="E19">
        <v>-7.1152800555722654E-3</v>
      </c>
      <c r="F19">
        <v>-4.0133384798922034E-2</v>
      </c>
      <c r="G19">
        <v>0.14457250208555811</v>
      </c>
      <c r="H19">
        <v>0.1388888888888889</v>
      </c>
      <c r="I19">
        <v>479</v>
      </c>
      <c r="J19">
        <f t="shared" si="0"/>
        <v>20</v>
      </c>
      <c r="K19" cm="1">
        <f t="array" ref="K19">BS_more(C19,D19,E19,F19,G19,H19,TRUE)</f>
        <v>25.157387246213197</v>
      </c>
      <c r="L19">
        <f t="shared" si="1"/>
        <v>0</v>
      </c>
      <c r="M19" cm="1">
        <f t="array" ref="M19">BS_more(C19,D19,E19,F19,G19,H19,FALSE)</f>
        <v>2.86475659451854</v>
      </c>
    </row>
    <row r="20" spans="3:13" x14ac:dyDescent="0.25">
      <c r="C20">
        <v>498</v>
      </c>
      <c r="D20">
        <v>474</v>
      </c>
      <c r="E20">
        <v>-7.1152800555722654E-3</v>
      </c>
      <c r="F20">
        <v>-4.0133384798922034E-2</v>
      </c>
      <c r="G20">
        <v>0.14457250208555811</v>
      </c>
      <c r="H20">
        <v>0.1388888888888889</v>
      </c>
      <c r="I20">
        <v>480</v>
      </c>
      <c r="J20">
        <f t="shared" si="0"/>
        <v>24</v>
      </c>
      <c r="K20" cm="1">
        <f t="array" ref="K20">BS_more(C20,D20,E20,F20,G20,H20,TRUE)</f>
        <v>28.494917660080322</v>
      </c>
      <c r="L20">
        <f t="shared" si="1"/>
        <v>0</v>
      </c>
      <c r="M20" cm="1">
        <f t="array" ref="M20">BS_more(C20,D20,E20,F20,G20,H20,FALSE)</f>
        <v>2.1799284271141399</v>
      </c>
    </row>
    <row r="21" spans="3:13" x14ac:dyDescent="0.25">
      <c r="C21">
        <v>502</v>
      </c>
      <c r="D21">
        <v>474</v>
      </c>
      <c r="E21">
        <v>-7.1152800555722654E-3</v>
      </c>
      <c r="F21">
        <v>-4.0133384798922034E-2</v>
      </c>
      <c r="G21">
        <v>0.14457250208555811</v>
      </c>
      <c r="H21">
        <v>0.1388888888888889</v>
      </c>
      <c r="I21">
        <v>481</v>
      </c>
      <c r="J21">
        <f t="shared" si="0"/>
        <v>28</v>
      </c>
      <c r="K21" cm="1">
        <f t="array" ref="K21">BS_more(C21,D21,E21,F21,G21,H21,TRUE)</f>
        <v>31.973433842734003</v>
      </c>
      <c r="L21">
        <f t="shared" si="1"/>
        <v>0</v>
      </c>
      <c r="M21" cm="1">
        <f t="array" ref="M21">BS_more(C21,D21,E21,F21,G21,H21,FALSE)</f>
        <v>1.636086028496297</v>
      </c>
    </row>
    <row r="22" spans="3:13" x14ac:dyDescent="0.25">
      <c r="C22">
        <v>506</v>
      </c>
      <c r="D22">
        <v>474</v>
      </c>
      <c r="E22">
        <v>-7.1152800555722654E-3</v>
      </c>
      <c r="F22">
        <v>-4.0133384798922034E-2</v>
      </c>
      <c r="G22">
        <v>0.14457250208555811</v>
      </c>
      <c r="H22">
        <v>0.1388888888888889</v>
      </c>
      <c r="I22">
        <v>482</v>
      </c>
      <c r="J22">
        <f t="shared" si="0"/>
        <v>32</v>
      </c>
      <c r="K22" cm="1">
        <f t="array" ref="K22">BS_more(C22,D22,E22,F22,G22,H22,TRUE)</f>
        <v>35.570755960826766</v>
      </c>
      <c r="L22">
        <f t="shared" si="1"/>
        <v>0</v>
      </c>
      <c r="M22" cm="1">
        <f t="array" ref="M22">BS_more(C22,D22,E22,F22,G22,H22,FALSE)</f>
        <v>1.2110495653175362</v>
      </c>
    </row>
    <row r="23" spans="3:13" x14ac:dyDescent="0.25">
      <c r="C23">
        <v>510</v>
      </c>
      <c r="D23">
        <v>474</v>
      </c>
      <c r="E23">
        <v>-7.1152800555722654E-3</v>
      </c>
      <c r="F23">
        <v>-4.0133384798922034E-2</v>
      </c>
      <c r="G23">
        <v>0.14457250208555811</v>
      </c>
      <c r="H23">
        <v>0.1388888888888889</v>
      </c>
      <c r="I23">
        <v>483</v>
      </c>
      <c r="J23">
        <f t="shared" si="0"/>
        <v>36</v>
      </c>
      <c r="K23" cm="1">
        <f t="array" ref="K23">BS_more(C23,D23,E23,F23,G23,H23,TRUE)</f>
        <v>39.26617395871115</v>
      </c>
      <c r="L23">
        <f t="shared" si="1"/>
        <v>0</v>
      </c>
      <c r="M23" cm="1">
        <f t="array" ref="M23">BS_more(C23,D23,E23,F23,G23,H23,FALSE)</f>
        <v>0.88410898193039289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17D61-996D-44B6-92EF-220C483E3D66}">
  <sheetPr codeName="Sheet6"/>
  <dimension ref="D60:E65"/>
  <sheetViews>
    <sheetView topLeftCell="A34" workbookViewId="0">
      <selection activeCell="E66" sqref="E66"/>
    </sheetView>
  </sheetViews>
  <sheetFormatPr defaultRowHeight="15" x14ac:dyDescent="0.25"/>
  <sheetData>
    <row r="60" spans="4:5" x14ac:dyDescent="0.25">
      <c r="E60" t="s">
        <v>103</v>
      </c>
    </row>
    <row r="61" spans="4:5" x14ac:dyDescent="0.25">
      <c r="D61">
        <v>1</v>
      </c>
      <c r="E61" t="s">
        <v>99</v>
      </c>
    </row>
    <row r="62" spans="4:5" x14ac:dyDescent="0.25">
      <c r="D62">
        <v>2</v>
      </c>
      <c r="E62" t="s">
        <v>100</v>
      </c>
    </row>
    <row r="63" spans="4:5" x14ac:dyDescent="0.25">
      <c r="D63">
        <v>3</v>
      </c>
      <c r="E63" t="s">
        <v>101</v>
      </c>
    </row>
    <row r="64" spans="4:5" x14ac:dyDescent="0.25">
      <c r="D64">
        <v>4</v>
      </c>
      <c r="E64" t="s">
        <v>102</v>
      </c>
    </row>
    <row r="65" spans="4:5" x14ac:dyDescent="0.25">
      <c r="D65">
        <v>5</v>
      </c>
      <c r="E65" t="s">
        <v>104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概念</vt:lpstr>
      <vt:lpstr>图1</vt:lpstr>
      <vt:lpstr>r,q</vt:lpstr>
      <vt:lpstr>r,q (2)</vt:lpstr>
      <vt:lpstr>pricing</vt:lpstr>
      <vt:lpstr>pricing(2)</vt:lpstr>
      <vt:lpstr>价格曲线</vt:lpstr>
      <vt:lpstr>图2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JPickens</dc:creator>
  <cp:lastModifiedBy>WEIJIE DIAO</cp:lastModifiedBy>
  <dcterms:created xsi:type="dcterms:W3CDTF">2019-07-30T16:46:37Z</dcterms:created>
  <dcterms:modified xsi:type="dcterms:W3CDTF">2022-01-02T03:41:28Z</dcterms:modified>
</cp:coreProperties>
</file>